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Z:\企画調整\03_減量化・リサイクル関係\07_多量排出事業者関係\多量排出事業者\R7\2.取りまとめ\R7県西\公表\"/>
    </mc:Choice>
  </mc:AlternateContent>
  <xr:revisionPtr revIDLastSave="0" documentId="13_ncr:1_{E454F4AE-D99E-4025-9580-DB616E094600}" xr6:coauthVersionLast="47" xr6:coauthVersionMax="47" xr10:uidLastSave="{00000000-0000-0000-0000-000000000000}"/>
  <bookViews>
    <workbookView xWindow="20370" yWindow="-120" windowWidth="29040" windowHeight="15720" xr2:uid="{00000000-000D-0000-FFFF-FFFF00000000}"/>
  </bookViews>
  <sheets>
    <sheet name="県西 R7" sheetId="4" r:id="rId1"/>
  </sheets>
  <definedNames>
    <definedName name="_xlnm._FilterDatabase" localSheetId="0" hidden="1">'県西 R7'!$A$5:$Q$114</definedName>
    <definedName name="_xlnm.Print_Area" localSheetId="0">'県西 R7'!$A$1:$Q$128</definedName>
    <definedName name="_xlnm.Print_Titles" localSheetId="0">'県西 R7'!$1:$5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5" i="4" l="1"/>
  <c r="J25" i="4"/>
  <c r="K49" i="4"/>
  <c r="K54" i="4" l="1"/>
  <c r="J31" i="4" l="1"/>
  <c r="K31" i="4" l="1"/>
  <c r="I16" i="4" l="1"/>
  <c r="H16" i="4"/>
  <c r="O35" i="4" l="1"/>
  <c r="J112" i="4"/>
  <c r="J108" i="4" l="1"/>
  <c r="J106" i="4"/>
  <c r="K101" i="4"/>
  <c r="J101" i="4"/>
  <c r="K100" i="4"/>
  <c r="J100" i="4"/>
  <c r="K96" i="4"/>
  <c r="J96" i="4"/>
  <c r="J92" i="4"/>
  <c r="K92" i="4"/>
  <c r="K93" i="4"/>
  <c r="J93" i="4"/>
  <c r="K87" i="4"/>
  <c r="J87" i="4"/>
  <c r="J84" i="4"/>
  <c r="K71" i="4"/>
  <c r="J71" i="4"/>
  <c r="K67" i="4"/>
  <c r="J67" i="4"/>
  <c r="P68" i="4"/>
  <c r="P56" i="4" l="1"/>
  <c r="O56" i="4"/>
  <c r="J49" i="4"/>
  <c r="J32" i="4"/>
  <c r="J26" i="4"/>
  <c r="K26" i="4"/>
  <c r="J102" i="4" l="1"/>
  <c r="P73" i="4" l="1"/>
  <c r="O73" i="4"/>
  <c r="A73" i="4"/>
  <c r="K76" i="4" l="1"/>
  <c r="J76" i="4"/>
  <c r="A76" i="4"/>
  <c r="I101" i="4"/>
  <c r="A101" i="4"/>
  <c r="A102" i="4" s="1"/>
  <c r="A99" i="4"/>
  <c r="A100" i="4" s="1"/>
  <c r="A93" i="4"/>
  <c r="A89" i="4"/>
  <c r="A71" i="4"/>
  <c r="J54" i="4"/>
  <c r="K40" i="4"/>
  <c r="J40" i="4"/>
  <c r="K38" i="4"/>
  <c r="J38" i="4"/>
  <c r="K29" i="4"/>
  <c r="J29" i="4"/>
  <c r="I29" i="4"/>
  <c r="A29" i="4"/>
  <c r="K97" i="4"/>
  <c r="J97" i="4"/>
  <c r="K107" i="4"/>
  <c r="J107" i="4"/>
  <c r="K110" i="4"/>
  <c r="J110" i="4"/>
  <c r="I110" i="4"/>
  <c r="K111" i="4"/>
  <c r="J111" i="4"/>
  <c r="K109" i="4"/>
  <c r="J109" i="4"/>
  <c r="A109" i="4"/>
  <c r="A108" i="4"/>
  <c r="A106" i="4"/>
  <c r="A107" i="4" s="1"/>
  <c r="K105" i="4"/>
  <c r="J105" i="4"/>
  <c r="A105" i="4"/>
  <c r="K104" i="4"/>
  <c r="J104" i="4"/>
  <c r="A104" i="4"/>
  <c r="K103" i="4"/>
  <c r="J103" i="4"/>
  <c r="A103" i="4"/>
  <c r="P95" i="4"/>
  <c r="O95" i="4"/>
  <c r="A95" i="4"/>
  <c r="A96" i="4" s="1"/>
  <c r="A97" i="4" s="1"/>
  <c r="A98" i="4" s="1"/>
  <c r="K94" i="4"/>
  <c r="J94" i="4"/>
  <c r="A94" i="4"/>
  <c r="A92" i="4"/>
  <c r="K91" i="4"/>
  <c r="J91" i="4"/>
  <c r="A91" i="4"/>
  <c r="K90" i="4"/>
  <c r="J90" i="4"/>
  <c r="A90" i="4"/>
  <c r="A88" i="4"/>
  <c r="A87" i="4"/>
  <c r="K86" i="4"/>
  <c r="J86" i="4"/>
  <c r="A86" i="4"/>
  <c r="K85" i="4"/>
  <c r="J85" i="4"/>
  <c r="A85" i="4"/>
  <c r="K84" i="4"/>
  <c r="A84" i="4"/>
  <c r="P83" i="4"/>
  <c r="O83" i="4"/>
  <c r="A83" i="4"/>
  <c r="K82" i="4"/>
  <c r="J82" i="4"/>
  <c r="A82" i="4"/>
  <c r="K81" i="4"/>
  <c r="J81" i="4"/>
  <c r="I81" i="4"/>
  <c r="H81" i="4"/>
  <c r="A81" i="4"/>
  <c r="P80" i="4"/>
  <c r="O80" i="4"/>
  <c r="A80" i="4"/>
  <c r="K79" i="4"/>
  <c r="J79" i="4"/>
  <c r="A79" i="4"/>
  <c r="J78" i="4"/>
  <c r="A78" i="4"/>
  <c r="P77" i="4"/>
  <c r="O77" i="4"/>
  <c r="A77" i="4"/>
  <c r="K75" i="4"/>
  <c r="J75" i="4"/>
  <c r="A75" i="4"/>
  <c r="P74" i="4"/>
  <c r="O74" i="4"/>
  <c r="K74" i="4"/>
  <c r="J74" i="4"/>
  <c r="A74" i="4"/>
  <c r="K72" i="4"/>
  <c r="J72" i="4"/>
  <c r="A72" i="4"/>
  <c r="K70" i="4"/>
  <c r="J70" i="4"/>
  <c r="A70" i="4"/>
  <c r="K69" i="4"/>
  <c r="J69" i="4"/>
  <c r="A69" i="4"/>
  <c r="O68" i="4"/>
  <c r="A68" i="4"/>
  <c r="P66" i="4"/>
  <c r="O66" i="4"/>
  <c r="A66" i="4"/>
  <c r="A67" i="4" s="1"/>
  <c r="K65" i="4"/>
  <c r="J65" i="4"/>
  <c r="A65" i="4"/>
  <c r="P64" i="4"/>
  <c r="O64" i="4"/>
  <c r="K64" i="4"/>
  <c r="J64" i="4"/>
  <c r="A64" i="4"/>
  <c r="P63" i="4"/>
  <c r="O63" i="4"/>
  <c r="N63" i="4"/>
  <c r="A63" i="4"/>
  <c r="P62" i="4"/>
  <c r="O62" i="4"/>
  <c r="N62" i="4"/>
  <c r="A62" i="4"/>
  <c r="K61" i="4"/>
  <c r="J61" i="4"/>
  <c r="A61" i="4"/>
  <c r="K60" i="4"/>
  <c r="J60" i="4"/>
  <c r="A60" i="4"/>
  <c r="I59" i="4"/>
  <c r="A59" i="4"/>
  <c r="K58" i="4"/>
  <c r="J58" i="4"/>
  <c r="I58" i="4"/>
  <c r="H58" i="4"/>
  <c r="A58" i="4"/>
  <c r="K57" i="4"/>
  <c r="J57" i="4"/>
  <c r="A57" i="4"/>
  <c r="N56" i="4"/>
  <c r="M56" i="4"/>
  <c r="K56" i="4"/>
  <c r="J56" i="4"/>
  <c r="I56" i="4"/>
  <c r="A56" i="4"/>
  <c r="K55" i="4"/>
  <c r="J55" i="4"/>
  <c r="A55" i="4"/>
  <c r="A53" i="4"/>
  <c r="A54" i="4" s="1"/>
  <c r="K52" i="4"/>
  <c r="J52" i="4"/>
  <c r="H52" i="4"/>
  <c r="A52" i="4"/>
  <c r="K51" i="4"/>
  <c r="J51" i="4"/>
  <c r="A51" i="4"/>
  <c r="A50" i="4"/>
  <c r="A49" i="4"/>
  <c r="K48" i="4"/>
  <c r="J48" i="4"/>
  <c r="I48" i="4"/>
  <c r="A48" i="4"/>
  <c r="J47" i="4"/>
  <c r="I47" i="4"/>
  <c r="A47" i="4"/>
  <c r="K46" i="4"/>
  <c r="J46" i="4"/>
  <c r="A46" i="4"/>
  <c r="P45" i="4"/>
  <c r="O45" i="4"/>
  <c r="A45" i="4"/>
  <c r="K44" i="4"/>
  <c r="J44" i="4"/>
  <c r="I44" i="4"/>
  <c r="A44" i="4"/>
  <c r="K43" i="4"/>
  <c r="J43" i="4"/>
  <c r="A43" i="4"/>
  <c r="K42" i="4"/>
  <c r="J42" i="4"/>
  <c r="I42" i="4"/>
  <c r="A42" i="4"/>
  <c r="K41" i="4"/>
  <c r="J41" i="4"/>
  <c r="I41" i="4"/>
  <c r="A41" i="4"/>
  <c r="K39" i="4"/>
  <c r="J39" i="4"/>
  <c r="A39" i="4"/>
  <c r="A40" i="4" s="1"/>
  <c r="K37" i="4"/>
  <c r="J37" i="4"/>
  <c r="I37" i="4"/>
  <c r="A37" i="4"/>
  <c r="A38" i="4" s="1"/>
  <c r="K36" i="4"/>
  <c r="J36" i="4"/>
  <c r="I36" i="4"/>
  <c r="A36" i="4"/>
  <c r="A35" i="4"/>
  <c r="K34" i="4"/>
  <c r="J34" i="4"/>
  <c r="I34" i="4"/>
  <c r="A34" i="4"/>
  <c r="K33" i="4"/>
  <c r="J33" i="4"/>
  <c r="I33" i="4"/>
  <c r="A33" i="4"/>
  <c r="A32" i="4"/>
  <c r="I31" i="4"/>
  <c r="H31" i="4"/>
  <c r="A31" i="4"/>
  <c r="P30" i="4"/>
  <c r="O30" i="4"/>
  <c r="A30" i="4"/>
  <c r="I28" i="4"/>
  <c r="A28" i="4"/>
  <c r="A27" i="4"/>
  <c r="A26" i="4"/>
  <c r="A25" i="4"/>
  <c r="P24" i="4"/>
  <c r="O24" i="4"/>
  <c r="A24" i="4"/>
  <c r="P23" i="4"/>
  <c r="O23" i="4"/>
  <c r="N23" i="4"/>
  <c r="K23" i="4"/>
  <c r="J23" i="4"/>
  <c r="I23" i="4"/>
  <c r="A23" i="4"/>
  <c r="K22" i="4"/>
  <c r="J22" i="4"/>
  <c r="I22" i="4"/>
  <c r="A22" i="4"/>
  <c r="K21" i="4"/>
  <c r="J21" i="4"/>
  <c r="A21" i="4"/>
  <c r="P19" i="4"/>
  <c r="O19" i="4"/>
  <c r="A19" i="4"/>
  <c r="A20" i="4" s="1"/>
  <c r="P18" i="4"/>
  <c r="O18" i="4"/>
  <c r="A18" i="4"/>
  <c r="K17" i="4"/>
  <c r="J17" i="4"/>
  <c r="I17" i="4"/>
  <c r="H17" i="4"/>
  <c r="A17" i="4"/>
  <c r="P15" i="4"/>
  <c r="P113" i="4" s="1"/>
  <c r="O15" i="4"/>
  <c r="A15" i="4"/>
  <c r="A16" i="4" s="1"/>
  <c r="K14" i="4"/>
  <c r="J14" i="4"/>
  <c r="I14" i="4"/>
  <c r="A14" i="4"/>
  <c r="K13" i="4"/>
  <c r="J13" i="4"/>
  <c r="I13" i="4"/>
  <c r="H13" i="4"/>
  <c r="A13" i="4"/>
  <c r="K12" i="4"/>
  <c r="J12" i="4"/>
  <c r="I12" i="4"/>
  <c r="H12" i="4"/>
  <c r="A12" i="4"/>
  <c r="K11" i="4"/>
  <c r="J11" i="4"/>
  <c r="A11" i="4"/>
  <c r="K10" i="4"/>
  <c r="J10" i="4"/>
  <c r="I10" i="4"/>
  <c r="A10" i="4"/>
  <c r="K9" i="4"/>
  <c r="J9" i="4"/>
  <c r="I9" i="4"/>
  <c r="A9" i="4"/>
  <c r="K8" i="4"/>
  <c r="J8" i="4"/>
  <c r="I8" i="4"/>
  <c r="A8" i="4"/>
  <c r="K7" i="4"/>
  <c r="K114" i="4" s="1"/>
  <c r="J7" i="4"/>
  <c r="H7" i="4"/>
  <c r="A7" i="4"/>
  <c r="A6" i="4"/>
  <c r="J113" i="4" l="1"/>
  <c r="O113" i="4"/>
  <c r="K113" i="4"/>
  <c r="P114" i="4"/>
  <c r="A110" i="4"/>
  <c r="A111" i="4" s="1"/>
  <c r="A112" i="4" s="1"/>
  <c r="J114" i="4"/>
  <c r="O114" i="4"/>
</calcChain>
</file>

<file path=xl/sharedStrings.xml><?xml version="1.0" encoding="utf-8"?>
<sst xmlns="http://schemas.openxmlformats.org/spreadsheetml/2006/main" count="416" uniqueCount="335">
  <si>
    <t>受付</t>
    <rPh sb="0" eb="2">
      <t>ウケツケ</t>
    </rPh>
    <phoneticPr fontId="3"/>
  </si>
  <si>
    <t>番
号</t>
    <rPh sb="0" eb="1">
      <t>バン</t>
    </rPh>
    <rPh sb="2" eb="3">
      <t>ゴウ</t>
    </rPh>
    <phoneticPr fontId="3"/>
  </si>
  <si>
    <t>提出者</t>
    <rPh sb="0" eb="3">
      <t>テイシュツシャ</t>
    </rPh>
    <phoneticPr fontId="3"/>
  </si>
  <si>
    <t>事業場
（提出者と同じ場合は記入不要）</t>
    <rPh sb="0" eb="2">
      <t>ジギョウ</t>
    </rPh>
    <rPh sb="2" eb="3">
      <t>バ</t>
    </rPh>
    <rPh sb="14" eb="16">
      <t>キニュウ</t>
    </rPh>
    <rPh sb="16" eb="18">
      <t>フヨウ</t>
    </rPh>
    <phoneticPr fontId="3"/>
  </si>
  <si>
    <t>事業の種類</t>
    <rPh sb="0" eb="2">
      <t>ジギョウ</t>
    </rPh>
    <rPh sb="3" eb="5">
      <t>シュルイ</t>
    </rPh>
    <phoneticPr fontId="3"/>
  </si>
  <si>
    <t>産業廃棄物</t>
    <rPh sb="0" eb="2">
      <t>サンギョウ</t>
    </rPh>
    <rPh sb="2" eb="5">
      <t>ハイキブツ</t>
    </rPh>
    <phoneticPr fontId="3"/>
  </si>
  <si>
    <t>特別管理産業廃棄物</t>
    <rPh sb="0" eb="2">
      <t>トクベツ</t>
    </rPh>
    <rPh sb="2" eb="4">
      <t>カンリ</t>
    </rPh>
    <rPh sb="4" eb="6">
      <t>サンギョウ</t>
    </rPh>
    <rPh sb="6" eb="9">
      <t>ハイキブツ</t>
    </rPh>
    <phoneticPr fontId="3"/>
  </si>
  <si>
    <t>備考</t>
    <rPh sb="0" eb="2">
      <t>ビコウ</t>
    </rPh>
    <phoneticPr fontId="3"/>
  </si>
  <si>
    <t>R4</t>
    <phoneticPr fontId="3"/>
  </si>
  <si>
    <t>法人名</t>
    <rPh sb="0" eb="2">
      <t>ホウジン</t>
    </rPh>
    <rPh sb="2" eb="3">
      <t>メイ</t>
    </rPh>
    <phoneticPr fontId="3"/>
  </si>
  <si>
    <t>住所</t>
    <rPh sb="0" eb="2">
      <t>ジュウショ</t>
    </rPh>
    <phoneticPr fontId="3"/>
  </si>
  <si>
    <t>名称</t>
    <rPh sb="0" eb="2">
      <t>メイショウ</t>
    </rPh>
    <phoneticPr fontId="3"/>
  </si>
  <si>
    <t>所在地</t>
    <rPh sb="0" eb="3">
      <t>ショザイチ</t>
    </rPh>
    <phoneticPr fontId="3"/>
  </si>
  <si>
    <t>実績量
(t)</t>
    <rPh sb="0" eb="2">
      <t>ジッセキ</t>
    </rPh>
    <rPh sb="2" eb="3">
      <t>リョウ</t>
    </rPh>
    <phoneticPr fontId="3"/>
  </si>
  <si>
    <t>目標量
(t)</t>
    <rPh sb="0" eb="2">
      <t>モクヒョウ</t>
    </rPh>
    <rPh sb="2" eb="3">
      <t>リョウ</t>
    </rPh>
    <phoneticPr fontId="3"/>
  </si>
  <si>
    <t>小沢道路株式会社</t>
    <rPh sb="0" eb="2">
      <t>オザワ</t>
    </rPh>
    <rPh sb="2" eb="4">
      <t>ドウロ</t>
    </rPh>
    <rPh sb="4" eb="8">
      <t>カブシキガイシャ</t>
    </rPh>
    <phoneticPr fontId="3"/>
  </si>
  <si>
    <t>茨城県古河市女沼284-8</t>
    <rPh sb="0" eb="3">
      <t>イバラキケン</t>
    </rPh>
    <rPh sb="3" eb="6">
      <t>コガシ</t>
    </rPh>
    <rPh sb="6" eb="7">
      <t>オンナ</t>
    </rPh>
    <rPh sb="7" eb="8">
      <t>ヌマ</t>
    </rPh>
    <phoneticPr fontId="3"/>
  </si>
  <si>
    <t>総合工事業</t>
    <rPh sb="0" eb="2">
      <t>ソウゴウ</t>
    </rPh>
    <rPh sb="2" eb="4">
      <t>コウジ</t>
    </rPh>
    <rPh sb="4" eb="5">
      <t>ギョウ</t>
    </rPh>
    <phoneticPr fontId="3"/>
  </si>
  <si>
    <t>森田建設工業株式会社</t>
    <rPh sb="0" eb="2">
      <t>モリタ</t>
    </rPh>
    <rPh sb="2" eb="6">
      <t>ケンセツコウギョウ</t>
    </rPh>
    <rPh sb="6" eb="10">
      <t>カブシキガイシャ</t>
    </rPh>
    <phoneticPr fontId="3"/>
  </si>
  <si>
    <t>茨城県古河市仁連1347</t>
    <rPh sb="0" eb="3">
      <t>イバラキケン</t>
    </rPh>
    <rPh sb="3" eb="6">
      <t>コガシ</t>
    </rPh>
    <rPh sb="6" eb="8">
      <t>ニレ</t>
    </rPh>
    <phoneticPr fontId="3"/>
  </si>
  <si>
    <t>総合工事業</t>
    <rPh sb="0" eb="5">
      <t>ソウゴウコウジギョウ</t>
    </rPh>
    <phoneticPr fontId="3"/>
  </si>
  <si>
    <t>職別工事業</t>
    <rPh sb="0" eb="5">
      <t>ショクベツコウジギョウ</t>
    </rPh>
    <phoneticPr fontId="3"/>
  </si>
  <si>
    <t>茨城県古河市丘里7</t>
    <rPh sb="0" eb="3">
      <t>イバラキケン</t>
    </rPh>
    <rPh sb="3" eb="6">
      <t>コガシ</t>
    </rPh>
    <rPh sb="6" eb="7">
      <t>オカ</t>
    </rPh>
    <rPh sb="7" eb="8">
      <t>サト</t>
    </rPh>
    <phoneticPr fontId="3"/>
  </si>
  <si>
    <t>食料品製造業</t>
    <rPh sb="1" eb="2">
      <t>リョウ</t>
    </rPh>
    <rPh sb="3" eb="6">
      <t>セイゾウギョウ</t>
    </rPh>
    <phoneticPr fontId="3"/>
  </si>
  <si>
    <t>食料品製造業</t>
    <rPh sb="0" eb="3">
      <t>ショクリョウヒン</t>
    </rPh>
    <rPh sb="3" eb="6">
      <t>セイゾウギョウ</t>
    </rPh>
    <phoneticPr fontId="3"/>
  </si>
  <si>
    <t>株式会社三和豆水庵</t>
    <rPh sb="0" eb="4">
      <t>カブシキガイシャ</t>
    </rPh>
    <rPh sb="4" eb="6">
      <t>サンワ</t>
    </rPh>
    <rPh sb="6" eb="7">
      <t>マメ</t>
    </rPh>
    <rPh sb="7" eb="8">
      <t>ミズ</t>
    </rPh>
    <rPh sb="8" eb="9">
      <t>アン</t>
    </rPh>
    <phoneticPr fontId="3"/>
  </si>
  <si>
    <t>茨城県古河市尾崎2647-1</t>
    <rPh sb="0" eb="3">
      <t>イバラキケン</t>
    </rPh>
    <rPh sb="3" eb="6">
      <t>コガシ</t>
    </rPh>
    <rPh sb="6" eb="8">
      <t>オザキ</t>
    </rPh>
    <phoneticPr fontId="3"/>
  </si>
  <si>
    <t>ジャパンフリトレー株式会社</t>
    <rPh sb="9" eb="13">
      <t>カブシキガイシャ</t>
    </rPh>
    <phoneticPr fontId="3"/>
  </si>
  <si>
    <t>トモヱ乳業株式会社</t>
    <rPh sb="3" eb="5">
      <t>ニュウギョウ</t>
    </rPh>
    <rPh sb="5" eb="9">
      <t>カブシキガイシャ</t>
    </rPh>
    <phoneticPr fontId="3"/>
  </si>
  <si>
    <t>茨城県古河市下辺見1955</t>
    <rPh sb="0" eb="3">
      <t>イバラキケン</t>
    </rPh>
    <rPh sb="3" eb="6">
      <t>コガシ</t>
    </rPh>
    <rPh sb="6" eb="7">
      <t>シタ</t>
    </rPh>
    <rPh sb="7" eb="9">
      <t>ヘンミ</t>
    </rPh>
    <phoneticPr fontId="3"/>
  </si>
  <si>
    <t>茨城県古河市北利根7</t>
    <rPh sb="0" eb="3">
      <t>イバラキケン</t>
    </rPh>
    <rPh sb="3" eb="6">
      <t>コガシ</t>
    </rPh>
    <rPh sb="6" eb="7">
      <t>キタ</t>
    </rPh>
    <rPh sb="7" eb="9">
      <t>トネ</t>
    </rPh>
    <phoneticPr fontId="3"/>
  </si>
  <si>
    <t>繊維工業</t>
    <rPh sb="0" eb="2">
      <t>センイ</t>
    </rPh>
    <rPh sb="2" eb="4">
      <t>コウギョウ</t>
    </rPh>
    <phoneticPr fontId="3"/>
  </si>
  <si>
    <t>株式会社積水化成品関東</t>
    <rPh sb="0" eb="4">
      <t>カブシキガイシャ</t>
    </rPh>
    <rPh sb="4" eb="6">
      <t>セキスイ</t>
    </rPh>
    <rPh sb="6" eb="9">
      <t>カセイヒン</t>
    </rPh>
    <rPh sb="9" eb="11">
      <t>カントウ</t>
    </rPh>
    <phoneticPr fontId="3"/>
  </si>
  <si>
    <t>茨城県古河市下辺見1336-2</t>
    <rPh sb="0" eb="3">
      <t>イバラキケン</t>
    </rPh>
    <rPh sb="3" eb="6">
      <t>コガシ</t>
    </rPh>
    <rPh sb="6" eb="7">
      <t>シタ</t>
    </rPh>
    <rPh sb="7" eb="9">
      <t>ヘンミ</t>
    </rPh>
    <phoneticPr fontId="3"/>
  </si>
  <si>
    <t>化学工業</t>
    <rPh sb="0" eb="2">
      <t>カガク</t>
    </rPh>
    <rPh sb="2" eb="4">
      <t>コウギョウ</t>
    </rPh>
    <phoneticPr fontId="3"/>
  </si>
  <si>
    <t>プラスチック製品製造業</t>
    <rPh sb="6" eb="8">
      <t>セイヒン</t>
    </rPh>
    <rPh sb="8" eb="11">
      <t>セイゾウギョウカコウギョウ</t>
    </rPh>
    <phoneticPr fontId="3"/>
  </si>
  <si>
    <t>三井化学ICTマテリア株式会社茨城工場</t>
    <rPh sb="0" eb="4">
      <t>ミツイカガク</t>
    </rPh>
    <rPh sb="11" eb="15">
      <t>カブシキガイシャ</t>
    </rPh>
    <rPh sb="15" eb="17">
      <t>イバラキ</t>
    </rPh>
    <rPh sb="17" eb="19">
      <t>コウジョウ</t>
    </rPh>
    <phoneticPr fontId="3"/>
  </si>
  <si>
    <t>茨城県古河市北利根12</t>
    <rPh sb="0" eb="3">
      <t>イバラキケン</t>
    </rPh>
    <rPh sb="3" eb="6">
      <t>コガシ</t>
    </rPh>
    <rPh sb="6" eb="9">
      <t>キタトネ</t>
    </rPh>
    <phoneticPr fontId="3"/>
  </si>
  <si>
    <t>プラスチック製品製造業</t>
    <rPh sb="6" eb="11">
      <t>セイヒンセイゾウギョウ</t>
    </rPh>
    <phoneticPr fontId="3"/>
  </si>
  <si>
    <t>茨城県古河市北利根13</t>
    <rPh sb="0" eb="3">
      <t>イバラキケン</t>
    </rPh>
    <rPh sb="3" eb="6">
      <t>コガシ</t>
    </rPh>
    <rPh sb="6" eb="7">
      <t>キタ</t>
    </rPh>
    <rPh sb="7" eb="9">
      <t>トネ</t>
    </rPh>
    <phoneticPr fontId="3"/>
  </si>
  <si>
    <t>茨城県古河市下大野1818</t>
    <rPh sb="0" eb="3">
      <t>イバラキケン</t>
    </rPh>
    <rPh sb="3" eb="6">
      <t>コガシ</t>
    </rPh>
    <rPh sb="6" eb="9">
      <t>シモオオノ</t>
    </rPh>
    <phoneticPr fontId="3"/>
  </si>
  <si>
    <t>ＮＣ関東パイル製造株式会社</t>
    <rPh sb="2" eb="4">
      <t>カントウ</t>
    </rPh>
    <rPh sb="7" eb="9">
      <t>セイゾウ</t>
    </rPh>
    <rPh sb="9" eb="13">
      <t>カブシキガイシャ</t>
    </rPh>
    <phoneticPr fontId="3"/>
  </si>
  <si>
    <t>茨城県古河市丘里13-4</t>
    <rPh sb="0" eb="3">
      <t>イバラキケン</t>
    </rPh>
    <rPh sb="3" eb="6">
      <t>コガシ</t>
    </rPh>
    <rPh sb="6" eb="7">
      <t>オカ</t>
    </rPh>
    <rPh sb="7" eb="8">
      <t>サト</t>
    </rPh>
    <phoneticPr fontId="3"/>
  </si>
  <si>
    <t>窯業・土石製品製造業</t>
    <rPh sb="0" eb="2">
      <t>ヨウギョウ</t>
    </rPh>
    <rPh sb="3" eb="5">
      <t>ドセキ</t>
    </rPh>
    <rPh sb="5" eb="7">
      <t>セイヒン</t>
    </rPh>
    <phoneticPr fontId="3"/>
  </si>
  <si>
    <t>ジャパンパイル株式会社</t>
    <rPh sb="7" eb="11">
      <t>カブシキガイシャ</t>
    </rPh>
    <phoneticPr fontId="3"/>
  </si>
  <si>
    <t>東京都中央区日本橋箱崎町36-2Daiwaﾘﾊﾞｰｹﾞｰﾄ</t>
    <rPh sb="0" eb="3">
      <t>トウキョウト</t>
    </rPh>
    <rPh sb="3" eb="6">
      <t>チュウオウク</t>
    </rPh>
    <rPh sb="6" eb="9">
      <t>ニホンバシ</t>
    </rPh>
    <rPh sb="9" eb="11">
      <t>ハコザキ</t>
    </rPh>
    <phoneticPr fontId="3"/>
  </si>
  <si>
    <t>茨城工場</t>
    <rPh sb="0" eb="2">
      <t>イバラキ</t>
    </rPh>
    <rPh sb="2" eb="4">
      <t>コウジョウ</t>
    </rPh>
    <phoneticPr fontId="3"/>
  </si>
  <si>
    <t>茨城県古河市北利根1</t>
    <rPh sb="0" eb="3">
      <t>イバラキケン</t>
    </rPh>
    <rPh sb="3" eb="6">
      <t>コガシ</t>
    </rPh>
    <rPh sb="6" eb="7">
      <t>キタ</t>
    </rPh>
    <rPh sb="7" eb="9">
      <t>トネ</t>
    </rPh>
    <phoneticPr fontId="3"/>
  </si>
  <si>
    <t>窯業・土石製品製造業</t>
    <rPh sb="7" eb="10">
      <t>セイゾウギョウ</t>
    </rPh>
    <phoneticPr fontId="3"/>
  </si>
  <si>
    <t>日鉄ステンレス鋼管株式会社</t>
    <rPh sb="0" eb="2">
      <t>ニッテツ</t>
    </rPh>
    <rPh sb="7" eb="8">
      <t>コウ</t>
    </rPh>
    <rPh sb="8" eb="9">
      <t>カン</t>
    </rPh>
    <rPh sb="9" eb="13">
      <t>カブシキガイシャ</t>
    </rPh>
    <phoneticPr fontId="3"/>
  </si>
  <si>
    <t>茨城県古河市丘里3-2</t>
    <rPh sb="0" eb="8">
      <t>イバラキケンコガシオカサト</t>
    </rPh>
    <phoneticPr fontId="3"/>
  </si>
  <si>
    <t>北関東工場古河地区</t>
    <rPh sb="0" eb="1">
      <t>キタ</t>
    </rPh>
    <rPh sb="1" eb="3">
      <t>カントウ</t>
    </rPh>
    <rPh sb="3" eb="5">
      <t>コウジョウ</t>
    </rPh>
    <rPh sb="5" eb="7">
      <t>コガ</t>
    </rPh>
    <rPh sb="7" eb="9">
      <t>チク</t>
    </rPh>
    <phoneticPr fontId="3"/>
  </si>
  <si>
    <t>茨城県古河市丘里3-2</t>
    <rPh sb="0" eb="3">
      <t>イバラキケン</t>
    </rPh>
    <rPh sb="3" eb="6">
      <t>コガシ</t>
    </rPh>
    <rPh sb="6" eb="7">
      <t>オカ</t>
    </rPh>
    <rPh sb="7" eb="8">
      <t>サト</t>
    </rPh>
    <phoneticPr fontId="3"/>
  </si>
  <si>
    <t>鉄鋼業</t>
    <rPh sb="0" eb="2">
      <t>テッコウ</t>
    </rPh>
    <rPh sb="2" eb="3">
      <t>ギョウ</t>
    </rPh>
    <phoneticPr fontId="3"/>
  </si>
  <si>
    <t>日本パーカライジング株式会社古河工場</t>
    <rPh sb="0" eb="2">
      <t>ニホン</t>
    </rPh>
    <rPh sb="10" eb="14">
      <t>カブシキガイシャ</t>
    </rPh>
    <rPh sb="14" eb="18">
      <t>コガコウジョウ</t>
    </rPh>
    <phoneticPr fontId="3"/>
  </si>
  <si>
    <t>茨城県古河市丘里14-3</t>
    <rPh sb="0" eb="3">
      <t>イバラキケン</t>
    </rPh>
    <rPh sb="3" eb="6">
      <t>コガシ</t>
    </rPh>
    <rPh sb="6" eb="8">
      <t>オカザト</t>
    </rPh>
    <phoneticPr fontId="3"/>
  </si>
  <si>
    <t>金属製品製造業</t>
    <rPh sb="0" eb="2">
      <t>キンゾク</t>
    </rPh>
    <rPh sb="2" eb="4">
      <t>セイヒン</t>
    </rPh>
    <rPh sb="4" eb="7">
      <t>セイゾウギョウ</t>
    </rPh>
    <phoneticPr fontId="3"/>
  </si>
  <si>
    <t>茨城県古河市北利根2</t>
    <rPh sb="0" eb="3">
      <t>イバラキケン</t>
    </rPh>
    <rPh sb="3" eb="6">
      <t>コガシ</t>
    </rPh>
    <rPh sb="6" eb="7">
      <t>キタ</t>
    </rPh>
    <rPh sb="7" eb="9">
      <t>トネ</t>
    </rPh>
    <phoneticPr fontId="3"/>
  </si>
  <si>
    <t>ゴウダ株式会社関東事業部</t>
    <rPh sb="3" eb="7">
      <t>カブシキガイシャ</t>
    </rPh>
    <rPh sb="7" eb="9">
      <t>カントウ</t>
    </rPh>
    <rPh sb="9" eb="11">
      <t>ジギョウ</t>
    </rPh>
    <rPh sb="11" eb="12">
      <t>ブ</t>
    </rPh>
    <phoneticPr fontId="3"/>
  </si>
  <si>
    <t>茨城県古河市上砂井285-1</t>
    <rPh sb="0" eb="3">
      <t>イバラキケン</t>
    </rPh>
    <rPh sb="3" eb="6">
      <t>コガシ</t>
    </rPh>
    <rPh sb="6" eb="7">
      <t>ウエ</t>
    </rPh>
    <rPh sb="7" eb="8">
      <t>スナ</t>
    </rPh>
    <rPh sb="8" eb="9">
      <t>イ</t>
    </rPh>
    <phoneticPr fontId="3"/>
  </si>
  <si>
    <t>その他の製造業</t>
    <rPh sb="2" eb="3">
      <t>タ</t>
    </rPh>
    <rPh sb="4" eb="7">
      <t>セイゾウギョウ</t>
    </rPh>
    <phoneticPr fontId="3"/>
  </si>
  <si>
    <t>古河市</t>
    <rPh sb="0" eb="3">
      <t>コガシ</t>
    </rPh>
    <phoneticPr fontId="3"/>
  </si>
  <si>
    <t>茨城県古河市下大野2248</t>
    <rPh sb="0" eb="3">
      <t>イバラキケン</t>
    </rPh>
    <rPh sb="3" eb="6">
      <t>コガシ</t>
    </rPh>
    <rPh sb="6" eb="7">
      <t>シタ</t>
    </rPh>
    <rPh sb="7" eb="9">
      <t>オオノ</t>
    </rPh>
    <phoneticPr fontId="3"/>
  </si>
  <si>
    <t>古河市古河浄化センター</t>
    <rPh sb="0" eb="3">
      <t>コガシ</t>
    </rPh>
    <rPh sb="3" eb="5">
      <t>コガ</t>
    </rPh>
    <rPh sb="5" eb="7">
      <t>ジョウカ</t>
    </rPh>
    <phoneticPr fontId="3"/>
  </si>
  <si>
    <t>茨城県古河市中田新田191-1</t>
    <rPh sb="0" eb="3">
      <t>イバラキケン</t>
    </rPh>
    <rPh sb="3" eb="6">
      <t>コガシ</t>
    </rPh>
    <rPh sb="6" eb="8">
      <t>ナカダ</t>
    </rPh>
    <rPh sb="8" eb="10">
      <t>シンデン</t>
    </rPh>
    <phoneticPr fontId="3"/>
  </si>
  <si>
    <t>水道業</t>
    <rPh sb="0" eb="3">
      <t>スイドウギョウギョウ</t>
    </rPh>
    <phoneticPr fontId="3"/>
  </si>
  <si>
    <t>古河市総和水処理センター</t>
    <rPh sb="0" eb="3">
      <t>コガシ</t>
    </rPh>
    <rPh sb="3" eb="5">
      <t>ソウワ</t>
    </rPh>
    <rPh sb="5" eb="6">
      <t>ミズ</t>
    </rPh>
    <rPh sb="6" eb="8">
      <t>ショリ</t>
    </rPh>
    <phoneticPr fontId="3"/>
  </si>
  <si>
    <t>茨城県古河市水海1207</t>
    <rPh sb="0" eb="3">
      <t>イバラキケン</t>
    </rPh>
    <rPh sb="3" eb="6">
      <t>コガシ</t>
    </rPh>
    <rPh sb="6" eb="8">
      <t>ミズウミ</t>
    </rPh>
    <phoneticPr fontId="3"/>
  </si>
  <si>
    <t>古河赤十字病院</t>
    <rPh sb="0" eb="2">
      <t>コガ</t>
    </rPh>
    <rPh sb="2" eb="5">
      <t>セキジュウジ</t>
    </rPh>
    <rPh sb="5" eb="7">
      <t>ビョウイン</t>
    </rPh>
    <phoneticPr fontId="3"/>
  </si>
  <si>
    <t>茨城県古河市山下町1150</t>
    <rPh sb="0" eb="3">
      <t>イバラキケン</t>
    </rPh>
    <rPh sb="3" eb="6">
      <t>コガシ</t>
    </rPh>
    <rPh sb="6" eb="9">
      <t>ヤマシタチョウ</t>
    </rPh>
    <phoneticPr fontId="3"/>
  </si>
  <si>
    <t>医療業</t>
    <rPh sb="0" eb="2">
      <t>イリョウ</t>
    </rPh>
    <rPh sb="2" eb="3">
      <t>ギョウ</t>
    </rPh>
    <phoneticPr fontId="3"/>
  </si>
  <si>
    <t>宮田土建解体株式会社</t>
    <rPh sb="0" eb="6">
      <t>ミヤタドケンカイタイ</t>
    </rPh>
    <rPh sb="6" eb="10">
      <t>カブシキガイシャ</t>
    </rPh>
    <phoneticPr fontId="3"/>
  </si>
  <si>
    <t>茨城県結城市結城6524-1</t>
    <rPh sb="0" eb="3">
      <t>イバラキケン</t>
    </rPh>
    <rPh sb="3" eb="8">
      <t>ユウキシユウキ</t>
    </rPh>
    <phoneticPr fontId="3"/>
  </si>
  <si>
    <t>茨城県結城市結城11527-1</t>
    <rPh sb="0" eb="3">
      <t>イバラキケン</t>
    </rPh>
    <rPh sb="3" eb="6">
      <t>ユウキシ</t>
    </rPh>
    <rPh sb="6" eb="8">
      <t>ユウキ</t>
    </rPh>
    <phoneticPr fontId="3"/>
  </si>
  <si>
    <t>茨城県結城市結城10677-4</t>
    <rPh sb="0" eb="3">
      <t>イバラキケン</t>
    </rPh>
    <rPh sb="3" eb="6">
      <t>ユウキシ</t>
    </rPh>
    <rPh sb="6" eb="8">
      <t>ユウキ</t>
    </rPh>
    <phoneticPr fontId="3"/>
  </si>
  <si>
    <t>非鉄金属製造業</t>
    <rPh sb="0" eb="2">
      <t>ヒテツ</t>
    </rPh>
    <rPh sb="2" eb="4">
      <t>キンゾク</t>
    </rPh>
    <rPh sb="4" eb="7">
      <t>セイゾウギョウ</t>
    </rPh>
    <phoneticPr fontId="3"/>
  </si>
  <si>
    <t>アルテミラ製缶株式会社　結城工場</t>
    <rPh sb="5" eb="7">
      <t>セイカン</t>
    </rPh>
    <rPh sb="7" eb="11">
      <t>カブシキガイシャ</t>
    </rPh>
    <rPh sb="12" eb="14">
      <t>ユウキ</t>
    </rPh>
    <rPh sb="14" eb="16">
      <t>コウジョウ</t>
    </rPh>
    <phoneticPr fontId="3"/>
  </si>
  <si>
    <t>茨城県結城市新堤仲通り　　1-1</t>
    <rPh sb="0" eb="3">
      <t>イバラキケン</t>
    </rPh>
    <rPh sb="3" eb="6">
      <t>ユウキシ</t>
    </rPh>
    <rPh sb="6" eb="7">
      <t>シン</t>
    </rPh>
    <rPh sb="7" eb="8">
      <t>ツツミ</t>
    </rPh>
    <rPh sb="8" eb="9">
      <t>ナカ</t>
    </rPh>
    <rPh sb="9" eb="10">
      <t>トオ</t>
    </rPh>
    <phoneticPr fontId="3"/>
  </si>
  <si>
    <t>金属製品製造業</t>
    <rPh sb="4" eb="7">
      <t>セイゾウギョウ</t>
    </rPh>
    <phoneticPr fontId="3"/>
  </si>
  <si>
    <t>茨城県結城市若宮7</t>
    <rPh sb="0" eb="3">
      <t>イバラキケン</t>
    </rPh>
    <rPh sb="3" eb="6">
      <t>ユウキシ</t>
    </rPh>
    <rPh sb="6" eb="8">
      <t>ワカミヤ</t>
    </rPh>
    <phoneticPr fontId="3"/>
  </si>
  <si>
    <t>茨城県下妻市半谷903</t>
    <rPh sb="0" eb="3">
      <t>イバラキケン</t>
    </rPh>
    <rPh sb="3" eb="6">
      <t>シモツマシ</t>
    </rPh>
    <rPh sb="6" eb="8">
      <t>ハンヤ</t>
    </rPh>
    <phoneticPr fontId="3"/>
  </si>
  <si>
    <t>茨城県下妻市大木100</t>
    <rPh sb="0" eb="3">
      <t>イバラキケン</t>
    </rPh>
    <rPh sb="3" eb="6">
      <t>シモツマシ</t>
    </rPh>
    <rPh sb="6" eb="8">
      <t>オオキ</t>
    </rPh>
    <phoneticPr fontId="3"/>
  </si>
  <si>
    <t>共和･茨環･都市環共同事業体　共和メンテナンス株式会社</t>
    <rPh sb="6" eb="8">
      <t>トシ</t>
    </rPh>
    <rPh sb="8" eb="9">
      <t>カン</t>
    </rPh>
    <rPh sb="9" eb="11">
      <t>キョウドウ</t>
    </rPh>
    <rPh sb="11" eb="14">
      <t>ジギョウタイ</t>
    </rPh>
    <rPh sb="15" eb="17">
      <t>キョウワ</t>
    </rPh>
    <rPh sb="23" eb="24">
      <t>カブ</t>
    </rPh>
    <rPh sb="24" eb="25">
      <t>シキ</t>
    </rPh>
    <rPh sb="25" eb="27">
      <t>ガイシャ</t>
    </rPh>
    <phoneticPr fontId="3"/>
  </si>
  <si>
    <t>茨城県下妻市比毛45-5</t>
    <rPh sb="0" eb="3">
      <t>イバラキケン</t>
    </rPh>
    <rPh sb="3" eb="6">
      <t>シモツマシ</t>
    </rPh>
    <rPh sb="6" eb="8">
      <t>ヒケ</t>
    </rPh>
    <phoneticPr fontId="3"/>
  </si>
  <si>
    <t>きぬアクアステーション</t>
  </si>
  <si>
    <t>森永乳業株式会社
利根工場</t>
    <rPh sb="0" eb="2">
      <t>モリナガ</t>
    </rPh>
    <rPh sb="2" eb="4">
      <t>ニュウギョウ</t>
    </rPh>
    <rPh sb="4" eb="8">
      <t>カブシキガイシャ</t>
    </rPh>
    <rPh sb="9" eb="11">
      <t>トネ</t>
    </rPh>
    <rPh sb="11" eb="13">
      <t>コウジョウ</t>
    </rPh>
    <phoneticPr fontId="3"/>
  </si>
  <si>
    <t>食料品製造業</t>
    <rPh sb="3" eb="6">
      <t>セイゾウギョウ</t>
    </rPh>
    <phoneticPr fontId="3"/>
  </si>
  <si>
    <t>日本ハム食品株式会社関東プラント</t>
    <rPh sb="0" eb="2">
      <t>ニホン</t>
    </rPh>
    <rPh sb="4" eb="6">
      <t>ショクヒン</t>
    </rPh>
    <rPh sb="6" eb="10">
      <t>カブシキガイシャ</t>
    </rPh>
    <rPh sb="10" eb="12">
      <t>カントウ</t>
    </rPh>
    <phoneticPr fontId="3"/>
  </si>
  <si>
    <t>茨城県常総市坂手町5687-1</t>
    <rPh sb="0" eb="3">
      <t>イバラキケン</t>
    </rPh>
    <rPh sb="3" eb="5">
      <t>ジョウソウ</t>
    </rPh>
    <rPh sb="5" eb="6">
      <t>シ</t>
    </rPh>
    <rPh sb="6" eb="8">
      <t>サカテ</t>
    </rPh>
    <rPh sb="8" eb="9">
      <t>マチ</t>
    </rPh>
    <phoneticPr fontId="3"/>
  </si>
  <si>
    <t>茨城県常総市菅生町390-1</t>
    <rPh sb="0" eb="3">
      <t>イバラキケン</t>
    </rPh>
    <rPh sb="3" eb="5">
      <t>ジョウソウ</t>
    </rPh>
    <rPh sb="5" eb="6">
      <t>シ</t>
    </rPh>
    <rPh sb="6" eb="8">
      <t>スガオ</t>
    </rPh>
    <rPh sb="8" eb="9">
      <t>マチ</t>
    </rPh>
    <phoneticPr fontId="3"/>
  </si>
  <si>
    <t>高砂製紙株式会社</t>
    <rPh sb="0" eb="2">
      <t>タカサゴ</t>
    </rPh>
    <rPh sb="2" eb="4">
      <t>セイシ</t>
    </rPh>
    <rPh sb="4" eb="8">
      <t>カブシキガイシャ</t>
    </rPh>
    <phoneticPr fontId="3"/>
  </si>
  <si>
    <t>茨城県常総市豊岡町甲60</t>
    <rPh sb="0" eb="3">
      <t>イバラキケン</t>
    </rPh>
    <rPh sb="3" eb="5">
      <t>ジョウソウ</t>
    </rPh>
    <rPh sb="5" eb="6">
      <t>シ</t>
    </rPh>
    <rPh sb="6" eb="8">
      <t>トヨオカ</t>
    </rPh>
    <rPh sb="8" eb="9">
      <t>マチ</t>
    </rPh>
    <rPh sb="9" eb="10">
      <t>コウ</t>
    </rPh>
    <phoneticPr fontId="3"/>
  </si>
  <si>
    <t>中本パックス株式会社筑波工場</t>
    <rPh sb="0" eb="2">
      <t>ナカモト</t>
    </rPh>
    <rPh sb="6" eb="10">
      <t>カブシキガイシャ</t>
    </rPh>
    <rPh sb="10" eb="14">
      <t>ツクバコウジョウ</t>
    </rPh>
    <phoneticPr fontId="3"/>
  </si>
  <si>
    <t>茨城県常総市大生郷町6136-9</t>
    <rPh sb="0" eb="3">
      <t>イバラキケン</t>
    </rPh>
    <rPh sb="3" eb="6">
      <t>ジョウソウシ</t>
    </rPh>
    <rPh sb="6" eb="10">
      <t>オオノゴウマチ</t>
    </rPh>
    <phoneticPr fontId="3"/>
  </si>
  <si>
    <t>茨城県常総市大生郷町6138-8</t>
    <rPh sb="0" eb="3">
      <t>イバラキケン</t>
    </rPh>
    <rPh sb="3" eb="5">
      <t>ジョウソウ</t>
    </rPh>
    <rPh sb="5" eb="6">
      <t>シ</t>
    </rPh>
    <rPh sb="6" eb="7">
      <t>ダイ</t>
    </rPh>
    <rPh sb="7" eb="8">
      <t>セイ</t>
    </rPh>
    <rPh sb="8" eb="9">
      <t>ゴウ</t>
    </rPh>
    <rPh sb="9" eb="10">
      <t>チョウ</t>
    </rPh>
    <phoneticPr fontId="3"/>
  </si>
  <si>
    <t>株式会社五月女生コン石下工場</t>
    <rPh sb="0" eb="4">
      <t>カブシキガイシャ</t>
    </rPh>
    <rPh sb="4" eb="7">
      <t>ソウトメ</t>
    </rPh>
    <rPh sb="7" eb="8">
      <t>ナマ</t>
    </rPh>
    <rPh sb="10" eb="14">
      <t>イシゲコウジョウ</t>
    </rPh>
    <phoneticPr fontId="3"/>
  </si>
  <si>
    <t>茨城県常総市新石下1569</t>
    <rPh sb="0" eb="3">
      <t>イバラキケン</t>
    </rPh>
    <rPh sb="3" eb="5">
      <t>ジョウソウ</t>
    </rPh>
    <rPh sb="5" eb="6">
      <t>シ</t>
    </rPh>
    <rPh sb="6" eb="7">
      <t>シン</t>
    </rPh>
    <rPh sb="7" eb="9">
      <t>イシゲ</t>
    </rPh>
    <phoneticPr fontId="3"/>
  </si>
  <si>
    <t>エスビック株式会社つくば工場</t>
    <rPh sb="5" eb="9">
      <t>カブシキガイシャ</t>
    </rPh>
    <rPh sb="12" eb="14">
      <t>コウジョウ</t>
    </rPh>
    <phoneticPr fontId="3"/>
  </si>
  <si>
    <t>茨城県常総市杉山1111</t>
    <rPh sb="0" eb="3">
      <t>イバラキケン</t>
    </rPh>
    <rPh sb="3" eb="5">
      <t>ジョウソウ</t>
    </rPh>
    <rPh sb="5" eb="6">
      <t>シ</t>
    </rPh>
    <rPh sb="6" eb="8">
      <t>スギヤマ</t>
    </rPh>
    <phoneticPr fontId="3"/>
  </si>
  <si>
    <t>丸栄コンクリート工業株式会社</t>
    <rPh sb="0" eb="2">
      <t>マルエイ</t>
    </rPh>
    <rPh sb="8" eb="10">
      <t>コウギョウ</t>
    </rPh>
    <rPh sb="10" eb="14">
      <t>カブシキガイシャ</t>
    </rPh>
    <phoneticPr fontId="3"/>
  </si>
  <si>
    <t>岐阜県羽島市福寿町間島1518</t>
    <rPh sb="0" eb="2">
      <t>ギフ</t>
    </rPh>
    <rPh sb="2" eb="3">
      <t>ケン</t>
    </rPh>
    <rPh sb="3" eb="5">
      <t>ハシマ</t>
    </rPh>
    <rPh sb="5" eb="6">
      <t>シ</t>
    </rPh>
    <rPh sb="6" eb="8">
      <t>フクジュ</t>
    </rPh>
    <rPh sb="8" eb="9">
      <t>マチ</t>
    </rPh>
    <rPh sb="9" eb="11">
      <t>マジマ</t>
    </rPh>
    <phoneticPr fontId="3"/>
  </si>
  <si>
    <t>茨城県常総市古間木1867-1</t>
    <rPh sb="0" eb="3">
      <t>イバラキケン</t>
    </rPh>
    <rPh sb="3" eb="5">
      <t>ジョウソウ</t>
    </rPh>
    <rPh sb="5" eb="6">
      <t>シ</t>
    </rPh>
    <rPh sb="6" eb="7">
      <t>フル</t>
    </rPh>
    <rPh sb="7" eb="8">
      <t>アイダ</t>
    </rPh>
    <rPh sb="8" eb="9">
      <t>キ</t>
    </rPh>
    <phoneticPr fontId="3"/>
  </si>
  <si>
    <t>関東モリ工業株式会社</t>
    <rPh sb="0" eb="2">
      <t>カントウ</t>
    </rPh>
    <rPh sb="4" eb="6">
      <t>コウギョウ</t>
    </rPh>
    <rPh sb="6" eb="10">
      <t>カブシキガイシャ</t>
    </rPh>
    <phoneticPr fontId="3"/>
  </si>
  <si>
    <t>埼玉県狭山市広瀬台2-1-14</t>
    <rPh sb="0" eb="3">
      <t>サイタマケン</t>
    </rPh>
    <rPh sb="3" eb="6">
      <t>サヤマシ</t>
    </rPh>
    <rPh sb="6" eb="9">
      <t>ヒロセダイ</t>
    </rPh>
    <phoneticPr fontId="3"/>
  </si>
  <si>
    <t>茨城県常総市大塚戸町1786</t>
    <rPh sb="0" eb="3">
      <t>イバラキケン</t>
    </rPh>
    <rPh sb="3" eb="5">
      <t>ジョウソウ</t>
    </rPh>
    <rPh sb="5" eb="6">
      <t>シ</t>
    </rPh>
    <rPh sb="6" eb="8">
      <t>オオツカ</t>
    </rPh>
    <rPh sb="8" eb="9">
      <t>ト</t>
    </rPh>
    <rPh sb="9" eb="10">
      <t>マチ</t>
    </rPh>
    <phoneticPr fontId="3"/>
  </si>
  <si>
    <t>東京電力パワーグリッド株式会社</t>
    <rPh sb="0" eb="2">
      <t>トウキョウ</t>
    </rPh>
    <rPh sb="2" eb="4">
      <t>デンリョク</t>
    </rPh>
    <rPh sb="11" eb="15">
      <t>カブシキガイシャ</t>
    </rPh>
    <phoneticPr fontId="3"/>
  </si>
  <si>
    <t>東京都千代田区内幸町1-1-3</t>
    <rPh sb="0" eb="3">
      <t>トウキョウト</t>
    </rPh>
    <rPh sb="3" eb="7">
      <t>チヨダク</t>
    </rPh>
    <rPh sb="7" eb="10">
      <t>ウチサイワイチョウ</t>
    </rPh>
    <phoneticPr fontId="3"/>
  </si>
  <si>
    <t>茨城県企業局県西水道事務所水海道浄水場</t>
    <rPh sb="0" eb="3">
      <t>イバラキケン</t>
    </rPh>
    <rPh sb="3" eb="5">
      <t>キギョウ</t>
    </rPh>
    <rPh sb="5" eb="6">
      <t>キョク</t>
    </rPh>
    <rPh sb="6" eb="8">
      <t>ケンセイ</t>
    </rPh>
    <rPh sb="8" eb="10">
      <t>スイドウ</t>
    </rPh>
    <rPh sb="10" eb="12">
      <t>ジム</t>
    </rPh>
    <rPh sb="12" eb="13">
      <t>ショ</t>
    </rPh>
    <rPh sb="13" eb="16">
      <t>ミツカイドウ</t>
    </rPh>
    <rPh sb="16" eb="19">
      <t>ジョウスイジョウ</t>
    </rPh>
    <phoneticPr fontId="3"/>
  </si>
  <si>
    <t>茨城県常総市大塚戸町1956</t>
    <rPh sb="0" eb="3">
      <t>イバラキケン</t>
    </rPh>
    <rPh sb="3" eb="5">
      <t>ジョウソウ</t>
    </rPh>
    <rPh sb="5" eb="6">
      <t>シ</t>
    </rPh>
    <rPh sb="6" eb="8">
      <t>オオツカ</t>
    </rPh>
    <rPh sb="8" eb="9">
      <t>ト</t>
    </rPh>
    <rPh sb="9" eb="10">
      <t>マチ</t>
    </rPh>
    <phoneticPr fontId="3"/>
  </si>
  <si>
    <t>水道業</t>
    <rPh sb="0" eb="3">
      <t>スイドウギョウ</t>
    </rPh>
    <phoneticPr fontId="3"/>
  </si>
  <si>
    <t>医療法人仁愛会　
水海道厚生病院</t>
    <rPh sb="0" eb="4">
      <t>イリョウホウジン</t>
    </rPh>
    <rPh sb="4" eb="5">
      <t>ジン</t>
    </rPh>
    <rPh sb="5" eb="6">
      <t>アイ</t>
    </rPh>
    <rPh sb="6" eb="7">
      <t>カイ</t>
    </rPh>
    <rPh sb="9" eb="12">
      <t>ミツカイドウ</t>
    </rPh>
    <rPh sb="12" eb="16">
      <t>コウセイビョウイン</t>
    </rPh>
    <phoneticPr fontId="3"/>
  </si>
  <si>
    <t>茨城県常総市内守谷3770-7</t>
    <rPh sb="0" eb="3">
      <t>イバラキケン</t>
    </rPh>
    <rPh sb="3" eb="6">
      <t>ジョウソウシ</t>
    </rPh>
    <rPh sb="6" eb="9">
      <t>ウチモリヤ</t>
    </rPh>
    <phoneticPr fontId="3"/>
  </si>
  <si>
    <t>茨城県筑西市小川1500</t>
    <rPh sb="0" eb="3">
      <t>イバラキケン</t>
    </rPh>
    <rPh sb="3" eb="6">
      <t>チクセイシ</t>
    </rPh>
    <rPh sb="6" eb="8">
      <t>オガワ</t>
    </rPh>
    <phoneticPr fontId="3"/>
  </si>
  <si>
    <t>プラスチック製品製造業</t>
    <rPh sb="8" eb="11">
      <t>セイゾウギョウ</t>
    </rPh>
    <phoneticPr fontId="3"/>
  </si>
  <si>
    <t>リンクステック株式会社下館工場</t>
    <rPh sb="7" eb="11">
      <t>カブシキガイシャ</t>
    </rPh>
    <rPh sb="11" eb="13">
      <t>シモダテ</t>
    </rPh>
    <rPh sb="13" eb="15">
      <t>コウジョウ</t>
    </rPh>
    <phoneticPr fontId="3"/>
  </si>
  <si>
    <t>電気機械器具製造業</t>
    <rPh sb="0" eb="2">
      <t>デンキ</t>
    </rPh>
    <rPh sb="2" eb="4">
      <t>キカイ</t>
    </rPh>
    <rPh sb="4" eb="6">
      <t>キグ</t>
    </rPh>
    <rPh sb="6" eb="9">
      <t>セイゾウギョウ</t>
    </rPh>
    <phoneticPr fontId="3"/>
  </si>
  <si>
    <t>株式会社神鋼環境ソリューション</t>
    <rPh sb="0" eb="4">
      <t>カブシキガイシャ</t>
    </rPh>
    <rPh sb="4" eb="6">
      <t>シンコウ</t>
    </rPh>
    <rPh sb="6" eb="8">
      <t>カンキョウ</t>
    </rPh>
    <phoneticPr fontId="3"/>
  </si>
  <si>
    <t>兵庫県神戸市中央区脇浜町1-4-78</t>
    <rPh sb="0" eb="3">
      <t>ヒョウゴケン</t>
    </rPh>
    <rPh sb="3" eb="6">
      <t>コウベシ</t>
    </rPh>
    <rPh sb="6" eb="9">
      <t>チュウオウク</t>
    </rPh>
    <rPh sb="9" eb="12">
      <t>ワキハママチ</t>
    </rPh>
    <phoneticPr fontId="3"/>
  </si>
  <si>
    <t>さしまクリーンセンター寺久</t>
    <rPh sb="11" eb="12">
      <t>テラ</t>
    </rPh>
    <rPh sb="12" eb="13">
      <t>ク</t>
    </rPh>
    <phoneticPr fontId="3"/>
  </si>
  <si>
    <t>茨城県坂東市寺久1353-1</t>
    <rPh sb="0" eb="3">
      <t>イバラキケン</t>
    </rPh>
    <rPh sb="3" eb="6">
      <t>バンドウシ</t>
    </rPh>
    <rPh sb="6" eb="8">
      <t>テラク</t>
    </rPh>
    <phoneticPr fontId="3"/>
  </si>
  <si>
    <t>設備工事業</t>
    <rPh sb="0" eb="5">
      <t>セツビコウジギョウ</t>
    </rPh>
    <phoneticPr fontId="3"/>
  </si>
  <si>
    <t>株式会社田中食品興業所つくば工場</t>
    <rPh sb="0" eb="4">
      <t>カブシキガイシャ</t>
    </rPh>
    <rPh sb="4" eb="6">
      <t>タナカ</t>
    </rPh>
    <rPh sb="6" eb="8">
      <t>ショクヒン</t>
    </rPh>
    <rPh sb="8" eb="10">
      <t>コウギョウ</t>
    </rPh>
    <rPh sb="10" eb="11">
      <t>トコロ</t>
    </rPh>
    <rPh sb="14" eb="16">
      <t>コウジョウ</t>
    </rPh>
    <phoneticPr fontId="3"/>
  </si>
  <si>
    <t>茨城県坂東市幸神平26-2</t>
    <rPh sb="0" eb="3">
      <t>イバラキケン</t>
    </rPh>
    <rPh sb="3" eb="5">
      <t>バンドウ</t>
    </rPh>
    <rPh sb="5" eb="6">
      <t>シ</t>
    </rPh>
    <rPh sb="6" eb="7">
      <t>サイワイ</t>
    </rPh>
    <rPh sb="7" eb="8">
      <t>カミ</t>
    </rPh>
    <rPh sb="8" eb="9">
      <t>ヘイ</t>
    </rPh>
    <phoneticPr fontId="3"/>
  </si>
  <si>
    <t>食料品製造業</t>
    <rPh sb="1" eb="2">
      <t>リョウ</t>
    </rPh>
    <rPh sb="2" eb="3">
      <t>ヒン</t>
    </rPh>
    <rPh sb="3" eb="6">
      <t>セイゾウギョウ</t>
    </rPh>
    <phoneticPr fontId="3"/>
  </si>
  <si>
    <t>株式会社モンテールつくば工場</t>
    <rPh sb="0" eb="4">
      <t>カブシキガイシャ</t>
    </rPh>
    <rPh sb="12" eb="14">
      <t>コウジョウ</t>
    </rPh>
    <phoneticPr fontId="3"/>
  </si>
  <si>
    <t>茨城県坂東市幸神平33</t>
    <rPh sb="0" eb="6">
      <t>イバラキケンバンドウシ</t>
    </rPh>
    <rPh sb="6" eb="9">
      <t>コウジンダイラ</t>
    </rPh>
    <phoneticPr fontId="3"/>
  </si>
  <si>
    <t>アサヒメタルファイン株式会社</t>
    <rPh sb="10" eb="14">
      <t>カブシキガイシャ</t>
    </rPh>
    <phoneticPr fontId="3"/>
  </si>
  <si>
    <t>東京都千代田区丸の内1-7-12サピアタワー11F</t>
    <rPh sb="0" eb="3">
      <t>トウキョウト</t>
    </rPh>
    <rPh sb="3" eb="7">
      <t>チヨダク</t>
    </rPh>
    <rPh sb="7" eb="8">
      <t>マル</t>
    </rPh>
    <rPh sb="9" eb="10">
      <t>ウチ</t>
    </rPh>
    <phoneticPr fontId="3"/>
  </si>
  <si>
    <t>アサヒメタルファイン株式会社 坂東工場</t>
    <rPh sb="10" eb="14">
      <t>カブシキガイシャ</t>
    </rPh>
    <rPh sb="15" eb="19">
      <t>バンドウコウジョウ</t>
    </rPh>
    <phoneticPr fontId="3"/>
  </si>
  <si>
    <t>茨城県坂東市緑の里16</t>
    <rPh sb="0" eb="3">
      <t>イバラキケン</t>
    </rPh>
    <rPh sb="3" eb="6">
      <t>バンドウシ</t>
    </rPh>
    <rPh sb="6" eb="7">
      <t>ミドリ</t>
    </rPh>
    <rPh sb="8" eb="9">
      <t>サト</t>
    </rPh>
    <phoneticPr fontId="3"/>
  </si>
  <si>
    <t>飲料・たばこ・飼料製造業</t>
    <rPh sb="0" eb="2">
      <t>インリョウ</t>
    </rPh>
    <rPh sb="7" eb="12">
      <t>シリョウセイゾウギョウ</t>
    </rPh>
    <phoneticPr fontId="3"/>
  </si>
  <si>
    <t>坂東市下水道事業</t>
    <rPh sb="0" eb="3">
      <t>バンドウシ</t>
    </rPh>
    <rPh sb="3" eb="8">
      <t>ゲスイドウジギョウ</t>
    </rPh>
    <phoneticPr fontId="3"/>
  </si>
  <si>
    <t>茨城県坂東市岩井4365番地</t>
    <rPh sb="0" eb="3">
      <t>イバラキケン</t>
    </rPh>
    <rPh sb="3" eb="6">
      <t>バンドウシ</t>
    </rPh>
    <rPh sb="6" eb="8">
      <t>イワイ</t>
    </rPh>
    <rPh sb="12" eb="14">
      <t>バンチ</t>
    </rPh>
    <phoneticPr fontId="3"/>
  </si>
  <si>
    <t>岩井浄化センター</t>
    <rPh sb="0" eb="4">
      <t>イワイジョウカ</t>
    </rPh>
    <phoneticPr fontId="3"/>
  </si>
  <si>
    <t>坂東市小山1820番地</t>
    <rPh sb="0" eb="3">
      <t>バンドウシ</t>
    </rPh>
    <rPh sb="3" eb="5">
      <t>オヤマ</t>
    </rPh>
    <rPh sb="9" eb="11">
      <t>バンチ</t>
    </rPh>
    <phoneticPr fontId="3"/>
  </si>
  <si>
    <t>茨城県桜川市真壁町東谷貝919</t>
    <rPh sb="0" eb="3">
      <t>イバラキケン</t>
    </rPh>
    <rPh sb="3" eb="5">
      <t>サクラガワ</t>
    </rPh>
    <rPh sb="5" eb="6">
      <t>シ</t>
    </rPh>
    <rPh sb="6" eb="8">
      <t>マカベ</t>
    </rPh>
    <rPh sb="8" eb="9">
      <t>マチ</t>
    </rPh>
    <rPh sb="9" eb="10">
      <t>ヒガシ</t>
    </rPh>
    <rPh sb="10" eb="12">
      <t>ヤガイ</t>
    </rPh>
    <phoneticPr fontId="3"/>
  </si>
  <si>
    <t>茨城県桜川市間中512-38</t>
    <rPh sb="0" eb="3">
      <t>イバラキケン</t>
    </rPh>
    <rPh sb="3" eb="6">
      <t>サクラガワシ</t>
    </rPh>
    <rPh sb="6" eb="8">
      <t>マナカ</t>
    </rPh>
    <phoneticPr fontId="3"/>
  </si>
  <si>
    <t>窯業・土石製品製造業</t>
    <rPh sb="0" eb="2">
      <t>ヨウギョウ</t>
    </rPh>
    <rPh sb="3" eb="10">
      <t>ドセキセイヒンセイゾウギョウ</t>
    </rPh>
    <phoneticPr fontId="3"/>
  </si>
  <si>
    <t>黒沢建設株式会社</t>
    <rPh sb="0" eb="2">
      <t>クロサワ</t>
    </rPh>
    <rPh sb="2" eb="4">
      <t>ケンセツ</t>
    </rPh>
    <rPh sb="4" eb="8">
      <t>カブシキガイシャ</t>
    </rPh>
    <phoneticPr fontId="3"/>
  </si>
  <si>
    <t>東京都新宿区西新宿２-７-１新宿第一生命ビルディング17階</t>
    <rPh sb="0" eb="3">
      <t>トウキョウト</t>
    </rPh>
    <rPh sb="3" eb="6">
      <t>シンジュクク</t>
    </rPh>
    <rPh sb="6" eb="9">
      <t>ニシシンジュク</t>
    </rPh>
    <rPh sb="14" eb="16">
      <t>シンジュク</t>
    </rPh>
    <rPh sb="16" eb="20">
      <t>ダイイチセイメイ</t>
    </rPh>
    <rPh sb="28" eb="29">
      <t>カイ</t>
    </rPh>
    <phoneticPr fontId="3"/>
  </si>
  <si>
    <t>茨城県桜川市高森１１７９-６</t>
    <rPh sb="0" eb="3">
      <t>イバラキケン</t>
    </rPh>
    <rPh sb="3" eb="6">
      <t>サクラガワシ</t>
    </rPh>
    <rPh sb="6" eb="8">
      <t>タカモリ</t>
    </rPh>
    <phoneticPr fontId="3"/>
  </si>
  <si>
    <t>医療法人隆仁会</t>
    <rPh sb="0" eb="2">
      <t>イリョウ</t>
    </rPh>
    <rPh sb="2" eb="4">
      <t>ホウジン</t>
    </rPh>
    <rPh sb="4" eb="5">
      <t>リュウ</t>
    </rPh>
    <rPh sb="5" eb="6">
      <t>ジン</t>
    </rPh>
    <rPh sb="6" eb="7">
      <t>カイ</t>
    </rPh>
    <phoneticPr fontId="3"/>
  </si>
  <si>
    <t>茨城県桜川市高森1000</t>
    <rPh sb="0" eb="3">
      <t>イバラキケン</t>
    </rPh>
    <rPh sb="3" eb="5">
      <t>サクラガワ</t>
    </rPh>
    <rPh sb="5" eb="6">
      <t>シ</t>
    </rPh>
    <rPh sb="6" eb="8">
      <t>タカモリ</t>
    </rPh>
    <phoneticPr fontId="3"/>
  </si>
  <si>
    <t>さくらがわ地域医療センター</t>
    <rPh sb="5" eb="7">
      <t>チイキ</t>
    </rPh>
    <rPh sb="7" eb="9">
      <t>イリョウ</t>
    </rPh>
    <phoneticPr fontId="3"/>
  </si>
  <si>
    <t>フジフーズ株式会社</t>
    <rPh sb="5" eb="9">
      <t>カブシキガイシャ</t>
    </rPh>
    <phoneticPr fontId="3"/>
  </si>
  <si>
    <t>千葉県千葉市美浜区
中瀬2-6-1</t>
    <rPh sb="0" eb="3">
      <t>チバケン</t>
    </rPh>
    <rPh sb="3" eb="6">
      <t>チバシ</t>
    </rPh>
    <rPh sb="6" eb="9">
      <t>ミハマク</t>
    </rPh>
    <phoneticPr fontId="3"/>
  </si>
  <si>
    <t>フジフーズ株式会社茨城工場</t>
    <rPh sb="5" eb="9">
      <t>カブシキガイシャ</t>
    </rPh>
    <rPh sb="9" eb="13">
      <t>イバラキコウジョウ</t>
    </rPh>
    <phoneticPr fontId="3"/>
  </si>
  <si>
    <t>茨城県結城郡八千代町菅谷898-179</t>
    <rPh sb="0" eb="3">
      <t>イバラキケン</t>
    </rPh>
    <rPh sb="3" eb="5">
      <t>ユウキ</t>
    </rPh>
    <rPh sb="5" eb="6">
      <t>グン</t>
    </rPh>
    <rPh sb="6" eb="9">
      <t>ヤチヨ</t>
    </rPh>
    <rPh sb="9" eb="10">
      <t>マチ</t>
    </rPh>
    <rPh sb="10" eb="12">
      <t>スガヤ</t>
    </rPh>
    <phoneticPr fontId="3"/>
  </si>
  <si>
    <t>キユーピー株式会社五霞工場</t>
    <rPh sb="5" eb="9">
      <t>カブシキガイシャ</t>
    </rPh>
    <rPh sb="9" eb="11">
      <t>ゴカ</t>
    </rPh>
    <rPh sb="11" eb="13">
      <t>コウジョウ</t>
    </rPh>
    <phoneticPr fontId="3"/>
  </si>
  <si>
    <t>茨城県猿島郡五霞町
小手指1800</t>
    <rPh sb="0" eb="3">
      <t>イバラキケン</t>
    </rPh>
    <rPh sb="3" eb="6">
      <t>サシマグン</t>
    </rPh>
    <rPh sb="6" eb="9">
      <t>ゴカマチ</t>
    </rPh>
    <rPh sb="10" eb="12">
      <t>コテ</t>
    </rPh>
    <rPh sb="12" eb="13">
      <t>サ</t>
    </rPh>
    <phoneticPr fontId="3"/>
  </si>
  <si>
    <t>キユーピー株式会社ファインケミカル本部五霞工場</t>
    <rPh sb="5" eb="9">
      <t>カブシキガイシャ</t>
    </rPh>
    <rPh sb="17" eb="19">
      <t>ホンブ</t>
    </rPh>
    <rPh sb="19" eb="21">
      <t>ゴカ</t>
    </rPh>
    <rPh sb="21" eb="23">
      <t>コウジョウ</t>
    </rPh>
    <phoneticPr fontId="3"/>
  </si>
  <si>
    <t>茨城県猿島郡五霞町
小手指1800</t>
    <rPh sb="0" eb="3">
      <t>イバラキケン</t>
    </rPh>
    <rPh sb="3" eb="6">
      <t>サシマグン</t>
    </rPh>
    <rPh sb="6" eb="9">
      <t>ゴカマチ</t>
    </rPh>
    <rPh sb="10" eb="13">
      <t>コテサシ</t>
    </rPh>
    <phoneticPr fontId="3"/>
  </si>
  <si>
    <t>キユーピー醸造株式会社五霞工場</t>
    <rPh sb="5" eb="7">
      <t>ジョウゾウ</t>
    </rPh>
    <rPh sb="7" eb="11">
      <t>カブシキガイシャ</t>
    </rPh>
    <rPh sb="11" eb="13">
      <t>ゴカ</t>
    </rPh>
    <rPh sb="13" eb="15">
      <t>コウジョウ</t>
    </rPh>
    <phoneticPr fontId="3"/>
  </si>
  <si>
    <t>株式会社ケイパック</t>
    <rPh sb="0" eb="4">
      <t>カブシキガイシャ</t>
    </rPh>
    <phoneticPr fontId="3"/>
  </si>
  <si>
    <t>茨城県猿島郡五霞町
元栗橋351</t>
    <rPh sb="0" eb="9">
      <t>イバラキケンサシマグンゴカマチ</t>
    </rPh>
    <rPh sb="10" eb="13">
      <t>モトクリハシ</t>
    </rPh>
    <phoneticPr fontId="3"/>
  </si>
  <si>
    <t>株式会社旬菜デリ五霞事業所</t>
    <rPh sb="0" eb="4">
      <t>カブシキガイシャ</t>
    </rPh>
    <rPh sb="4" eb="6">
      <t>シュンサイ</t>
    </rPh>
    <rPh sb="8" eb="10">
      <t>ゴカ</t>
    </rPh>
    <rPh sb="10" eb="13">
      <t>ジギョウショ</t>
    </rPh>
    <phoneticPr fontId="3"/>
  </si>
  <si>
    <t>茨城県猿島郡五霞町
元栗橋403-2</t>
    <rPh sb="0" eb="3">
      <t>イバラキケン</t>
    </rPh>
    <rPh sb="3" eb="6">
      <t>サシマグン</t>
    </rPh>
    <rPh sb="6" eb="9">
      <t>ゴカマチ</t>
    </rPh>
    <rPh sb="10" eb="11">
      <t>モト</t>
    </rPh>
    <rPh sb="11" eb="13">
      <t>クリハシ</t>
    </rPh>
    <phoneticPr fontId="3"/>
  </si>
  <si>
    <t>キッコーマンソイフーズ株式会社茨城工場</t>
    <rPh sb="11" eb="15">
      <t>カブシキガイシャ</t>
    </rPh>
    <rPh sb="15" eb="17">
      <t>イバラキ</t>
    </rPh>
    <rPh sb="17" eb="19">
      <t>コウジョウ</t>
    </rPh>
    <phoneticPr fontId="3"/>
  </si>
  <si>
    <t>茨城県猿島郡五霞町川妻1122</t>
    <rPh sb="0" eb="3">
      <t>イバラキケン</t>
    </rPh>
    <rPh sb="3" eb="6">
      <t>サシマグン</t>
    </rPh>
    <rPh sb="6" eb="9">
      <t>ゴカマチ</t>
    </rPh>
    <rPh sb="9" eb="11">
      <t>カワツマ</t>
    </rPh>
    <phoneticPr fontId="3"/>
  </si>
  <si>
    <t>株式会社ダイゾーエアゾール事業部東京工場</t>
    <rPh sb="0" eb="4">
      <t>カブシキガイシャ</t>
    </rPh>
    <rPh sb="13" eb="15">
      <t>ジギョウ</t>
    </rPh>
    <rPh sb="15" eb="16">
      <t>ブ</t>
    </rPh>
    <rPh sb="16" eb="18">
      <t>トウキョウ</t>
    </rPh>
    <rPh sb="18" eb="20">
      <t>コウジョウ</t>
    </rPh>
    <phoneticPr fontId="3"/>
  </si>
  <si>
    <t>茨城県猿島郡五霞町川妻1186</t>
    <rPh sb="0" eb="3">
      <t>イバラキケン</t>
    </rPh>
    <rPh sb="3" eb="6">
      <t>サシマグン</t>
    </rPh>
    <rPh sb="6" eb="9">
      <t>ゴカマチ</t>
    </rPh>
    <rPh sb="9" eb="10">
      <t>カワ</t>
    </rPh>
    <rPh sb="10" eb="11">
      <t>ツマ</t>
    </rPh>
    <phoneticPr fontId="3"/>
  </si>
  <si>
    <t>遠東石塚グリーンペット株式会社</t>
    <rPh sb="0" eb="2">
      <t>エントウ</t>
    </rPh>
    <rPh sb="2" eb="4">
      <t>イシツカ</t>
    </rPh>
    <rPh sb="11" eb="15">
      <t>カブシキガイシャ</t>
    </rPh>
    <phoneticPr fontId="3"/>
  </si>
  <si>
    <t>茨城県猿島郡境町
下小橋880</t>
    <rPh sb="0" eb="3">
      <t>イバラキケン</t>
    </rPh>
    <rPh sb="3" eb="6">
      <t>サシマグン</t>
    </rPh>
    <rPh sb="6" eb="8">
      <t>サカイマチ</t>
    </rPh>
    <rPh sb="9" eb="10">
      <t>シタ</t>
    </rPh>
    <rPh sb="10" eb="12">
      <t>コバシ</t>
    </rPh>
    <phoneticPr fontId="3"/>
  </si>
  <si>
    <t>旭化成建材株式会社ネオマフォーム工場</t>
    <rPh sb="0" eb="1">
      <t>アサヒ</t>
    </rPh>
    <rPh sb="1" eb="3">
      <t>カセイ</t>
    </rPh>
    <rPh sb="3" eb="5">
      <t>ケンザイ</t>
    </rPh>
    <rPh sb="5" eb="9">
      <t>カブシキガイシャ</t>
    </rPh>
    <rPh sb="16" eb="18">
      <t>コウジョウ</t>
    </rPh>
    <phoneticPr fontId="3"/>
  </si>
  <si>
    <t>茨城県猿島郡境町
西泉田1443-3</t>
    <rPh sb="0" eb="3">
      <t>イバラキケン</t>
    </rPh>
    <rPh sb="3" eb="6">
      <t>サシマグン</t>
    </rPh>
    <rPh sb="6" eb="8">
      <t>サカイマチ</t>
    </rPh>
    <rPh sb="9" eb="10">
      <t>ニシ</t>
    </rPh>
    <rPh sb="10" eb="12">
      <t>イズミダ</t>
    </rPh>
    <phoneticPr fontId="3"/>
  </si>
  <si>
    <t>プラスチック製品製造業</t>
    <rPh sb="6" eb="8">
      <t>セイヒン</t>
    </rPh>
    <phoneticPr fontId="3"/>
  </si>
  <si>
    <t>茨城県猿島郡境町染谷106</t>
    <rPh sb="0" eb="3">
      <t>イバラキケン</t>
    </rPh>
    <rPh sb="3" eb="6">
      <t>サシマグン</t>
    </rPh>
    <rPh sb="6" eb="8">
      <t>サカイマチ</t>
    </rPh>
    <rPh sb="8" eb="10">
      <t>ソメヤ</t>
    </rPh>
    <phoneticPr fontId="3"/>
  </si>
  <si>
    <t>さしまアクアステーション</t>
  </si>
  <si>
    <t>茨城県猿島郡境町2306-2</t>
    <rPh sb="0" eb="3">
      <t>イバラキケン</t>
    </rPh>
    <rPh sb="3" eb="6">
      <t>サシマグン</t>
    </rPh>
    <rPh sb="6" eb="8">
      <t>サカイマチ</t>
    </rPh>
    <phoneticPr fontId="3"/>
  </si>
  <si>
    <t>茨城西南医療センター病院</t>
    <rPh sb="0" eb="2">
      <t>イバラキ</t>
    </rPh>
    <rPh sb="2" eb="4">
      <t>セイナン</t>
    </rPh>
    <rPh sb="4" eb="6">
      <t>イリョウ</t>
    </rPh>
    <rPh sb="10" eb="12">
      <t>ビョウイン</t>
    </rPh>
    <phoneticPr fontId="3"/>
  </si>
  <si>
    <t>茨城県猿島郡境町2190</t>
    <rPh sb="0" eb="3">
      <t>イバラキケン</t>
    </rPh>
    <rPh sb="3" eb="6">
      <t>サシマグン</t>
    </rPh>
    <rPh sb="6" eb="8">
      <t>サカイマチ</t>
    </rPh>
    <phoneticPr fontId="3"/>
  </si>
  <si>
    <t>株式会社岡安興業</t>
    <rPh sb="0" eb="4">
      <t>カブシキガイシャ</t>
    </rPh>
    <rPh sb="4" eb="8">
      <t>オカヤスコウギョウ</t>
    </rPh>
    <phoneticPr fontId="3"/>
  </si>
  <si>
    <t>栃木県栃木市皆川城内町408-1</t>
    <rPh sb="0" eb="3">
      <t>トチギケン</t>
    </rPh>
    <rPh sb="3" eb="6">
      <t>トチギシ</t>
    </rPh>
    <rPh sb="6" eb="11">
      <t>ミナガワジョウナイマチ</t>
    </rPh>
    <phoneticPr fontId="3"/>
  </si>
  <si>
    <t>埼玉県さいたま市浦和区高砂2-6-5</t>
    <phoneticPr fontId="3"/>
  </si>
  <si>
    <t>株式会社　福田組</t>
    <rPh sb="0" eb="4">
      <t>カブシキガイシャ</t>
    </rPh>
    <rPh sb="5" eb="8">
      <t>フクダクミ</t>
    </rPh>
    <phoneticPr fontId="3"/>
  </si>
  <si>
    <t>新潟市中央区一番堀通町3-10</t>
    <rPh sb="0" eb="3">
      <t>ニイガタシ</t>
    </rPh>
    <rPh sb="3" eb="6">
      <t>チュウオウク</t>
    </rPh>
    <rPh sb="6" eb="9">
      <t>イチバンホリ</t>
    </rPh>
    <rPh sb="9" eb="11">
      <t>トオリマチ</t>
    </rPh>
    <phoneticPr fontId="3"/>
  </si>
  <si>
    <t>東京都港区港南1-8-15　Wビル3階</t>
    <rPh sb="0" eb="3">
      <t>トウキョウト</t>
    </rPh>
    <rPh sb="3" eb="5">
      <t>ミナトク</t>
    </rPh>
    <rPh sb="5" eb="7">
      <t>コウナン</t>
    </rPh>
    <rPh sb="18" eb="19">
      <t>カイ</t>
    </rPh>
    <phoneticPr fontId="3"/>
  </si>
  <si>
    <t>東京都港区芝浦1-1-1　浜松町ビルディング6階</t>
    <rPh sb="0" eb="3">
      <t>トウキョウト</t>
    </rPh>
    <rPh sb="3" eb="5">
      <t>ミナトク</t>
    </rPh>
    <rPh sb="5" eb="7">
      <t>シバウラ</t>
    </rPh>
    <rPh sb="13" eb="16">
      <t>ハママツチョウ</t>
    </rPh>
    <rPh sb="23" eb="24">
      <t>カイ</t>
    </rPh>
    <phoneticPr fontId="3"/>
  </si>
  <si>
    <t>ＪＦＥシビル株式会社</t>
    <phoneticPr fontId="3"/>
  </si>
  <si>
    <t>東京都台東区蔵前2-17-4</t>
    <rPh sb="0" eb="3">
      <t>トウキョウト</t>
    </rPh>
    <rPh sb="3" eb="6">
      <t>タイトウク</t>
    </rPh>
    <rPh sb="6" eb="8">
      <t>クラマエ</t>
    </rPh>
    <phoneticPr fontId="3"/>
  </si>
  <si>
    <t>茨城県管轄内工事現場</t>
    <rPh sb="0" eb="3">
      <t>イバラキケン</t>
    </rPh>
    <rPh sb="3" eb="5">
      <t>カンカツ</t>
    </rPh>
    <rPh sb="5" eb="6">
      <t>ナイ</t>
    </rPh>
    <rPh sb="6" eb="8">
      <t>コウジ</t>
    </rPh>
    <rPh sb="8" eb="10">
      <t>ゲンバ</t>
    </rPh>
    <phoneticPr fontId="3"/>
  </si>
  <si>
    <t>数量</t>
    <rPh sb="0" eb="2">
      <t>スウリョウ</t>
    </rPh>
    <phoneticPr fontId="3"/>
  </si>
  <si>
    <t>事業者数</t>
    <rPh sb="0" eb="3">
      <t>ジギョウシャ</t>
    </rPh>
    <rPh sb="3" eb="4">
      <t>スウ</t>
    </rPh>
    <phoneticPr fontId="3"/>
  </si>
  <si>
    <t>R5</t>
    <phoneticPr fontId="3"/>
  </si>
  <si>
    <t>R6実施状況</t>
    <rPh sb="2" eb="4">
      <t>ジッシ</t>
    </rPh>
    <rPh sb="4" eb="6">
      <t>ジョウキョウ</t>
    </rPh>
    <phoneticPr fontId="3"/>
  </si>
  <si>
    <t>R7計画</t>
    <rPh sb="2" eb="4">
      <t>ケイカク</t>
    </rPh>
    <phoneticPr fontId="3"/>
  </si>
  <si>
    <t>（特別管理）産業廃棄物多量排出事業者　令和6年度処理実施状況・令和7年度処理計画一覧</t>
    <rPh sb="1" eb="3">
      <t>トクベツ</t>
    </rPh>
    <rPh sb="3" eb="5">
      <t>カンリ</t>
    </rPh>
    <rPh sb="6" eb="11">
      <t>サンギョウハイキブツ</t>
    </rPh>
    <rPh sb="11" eb="13">
      <t>タリョウ</t>
    </rPh>
    <rPh sb="13" eb="15">
      <t>ハイシュツ</t>
    </rPh>
    <rPh sb="15" eb="18">
      <t>ジギョウシャ</t>
    </rPh>
    <rPh sb="19" eb="21">
      <t>レイワ</t>
    </rPh>
    <rPh sb="22" eb="24">
      <t>ネンド</t>
    </rPh>
    <rPh sb="23" eb="24">
      <t>ド</t>
    </rPh>
    <rPh sb="24" eb="26">
      <t>ショリ</t>
    </rPh>
    <rPh sb="26" eb="28">
      <t>ジッシ</t>
    </rPh>
    <rPh sb="28" eb="30">
      <t>ジョウキョウ</t>
    </rPh>
    <rPh sb="31" eb="32">
      <t>レイ</t>
    </rPh>
    <rPh sb="32" eb="33">
      <t>ワ</t>
    </rPh>
    <rPh sb="34" eb="36">
      <t>ネンド</t>
    </rPh>
    <rPh sb="35" eb="36">
      <t>ド</t>
    </rPh>
    <rPh sb="36" eb="38">
      <t>ショリ</t>
    </rPh>
    <rPh sb="38" eb="40">
      <t>ケイカク</t>
    </rPh>
    <rPh sb="40" eb="42">
      <t>イチラン</t>
    </rPh>
    <phoneticPr fontId="3"/>
  </si>
  <si>
    <t>茨城県古河市北利根9</t>
  </si>
  <si>
    <t>茨城県古河市北利根9</t>
    <rPh sb="0" eb="2">
      <t>イバラキ</t>
    </rPh>
    <rPh sb="2" eb="3">
      <t>ケン</t>
    </rPh>
    <rPh sb="3" eb="5">
      <t>コガ</t>
    </rPh>
    <rPh sb="5" eb="6">
      <t>シ</t>
    </rPh>
    <rPh sb="6" eb="7">
      <t>キタ</t>
    </rPh>
    <rPh sb="7" eb="9">
      <t>トネ</t>
    </rPh>
    <phoneticPr fontId="3"/>
  </si>
  <si>
    <t>食料品製造業</t>
  </si>
  <si>
    <t>金属製品製造業</t>
  </si>
  <si>
    <t>共和･茨環･都市環共同事業体　共和メンテナンス株式会社</t>
  </si>
  <si>
    <t>茨城県下妻市比毛45-5</t>
  </si>
  <si>
    <t>茨城県下妻市中居指933-1</t>
  </si>
  <si>
    <t>水道業</t>
  </si>
  <si>
    <t>茨城県常総市内守谷町4013-1</t>
    <rPh sb="0" eb="3">
      <t>イバラキケン</t>
    </rPh>
    <rPh sb="3" eb="5">
      <t>ジョウソウ</t>
    </rPh>
    <rPh sb="5" eb="6">
      <t>シ</t>
    </rPh>
    <rPh sb="6" eb="7">
      <t>ウチ</t>
    </rPh>
    <rPh sb="7" eb="9">
      <t>モリヤ</t>
    </rPh>
    <rPh sb="9" eb="10">
      <t>マチ</t>
    </rPh>
    <phoneticPr fontId="3"/>
  </si>
  <si>
    <t>パルプ・紙・紙加工品製造業</t>
  </si>
  <si>
    <t>印刷・同関連業</t>
  </si>
  <si>
    <t>窯業・土石製品製造業</t>
  </si>
  <si>
    <t>鉄鋼業</t>
  </si>
  <si>
    <t>茨城県常総市馬場442-27</t>
  </si>
  <si>
    <t>電気業</t>
  </si>
  <si>
    <t>医療業</t>
  </si>
  <si>
    <t>日本ハムファクトリー株式会社
茨城工場</t>
  </si>
  <si>
    <t>茨城県筑西市みどり町2-1-1</t>
  </si>
  <si>
    <t>茨城県筑西市小川1500</t>
  </si>
  <si>
    <t>プラスチック製品製造業</t>
  </si>
  <si>
    <t>ＮＣ東日本コンクリート工業株式会社</t>
  </si>
  <si>
    <t>茨城県筑西市伊佐山218-3</t>
  </si>
  <si>
    <t>ＮＣセグメント株式会社</t>
  </si>
  <si>
    <t>群馬県邑楽郡板倉町大蔵5</t>
  </si>
  <si>
    <t>女方工場</t>
  </si>
  <si>
    <t>茨城県筑西市女方306-1</t>
  </si>
  <si>
    <t>富山コンクリート工業株式会社</t>
  </si>
  <si>
    <t>茨城県筑西市菅谷1624</t>
  </si>
  <si>
    <t>小栗工場</t>
  </si>
  <si>
    <t>茨城県筑西市小栗13-1</t>
  </si>
  <si>
    <t>アイカテック建材株式会社明野工場</t>
  </si>
  <si>
    <t>茨城県筑西市鍋山738</t>
  </si>
  <si>
    <t>茨城県筑西市村田2242</t>
  </si>
  <si>
    <t>茨城県筑西市女方516</t>
  </si>
  <si>
    <t>茨城県筑西市五所宮1150</t>
  </si>
  <si>
    <t>その他の製造業</t>
  </si>
  <si>
    <t>茨城県企業局県西水道事務所(関城浄水場)</t>
  </si>
  <si>
    <t>茨城県筑西市辻2382</t>
  </si>
  <si>
    <t>地方独立行政法人茨城県西部医療機構</t>
  </si>
  <si>
    <t>茨城県筑西市大塚555</t>
  </si>
  <si>
    <t>茨城県西部メディカルセンター</t>
  </si>
  <si>
    <t>レンゴー株式会社</t>
  </si>
  <si>
    <t>大阪府大阪市北区中之島2-2-7</t>
  </si>
  <si>
    <t>利根川事業所</t>
  </si>
  <si>
    <t>茨城県坂東市岩井5269</t>
  </si>
  <si>
    <t>茨城県古河市北利根14-2</t>
    <rPh sb="0" eb="3">
      <t>イバラキケン</t>
    </rPh>
    <rPh sb="3" eb="6">
      <t>コガシ</t>
    </rPh>
    <rPh sb="6" eb="7">
      <t>キタ</t>
    </rPh>
    <rPh sb="7" eb="9">
      <t>トネ</t>
    </rPh>
    <phoneticPr fontId="3"/>
  </si>
  <si>
    <t>東京セキサン株式会社</t>
  </si>
  <si>
    <t>茨城県猿島郡境町猿山6-1</t>
  </si>
  <si>
    <t>世紀東急工業株式会社北関東営業所</t>
  </si>
  <si>
    <t>栃木県佐野市関川町612-1</t>
  </si>
  <si>
    <t>特定建設業</t>
  </si>
  <si>
    <t>埼玉県さいたま市見沼区春岡1-1-10</t>
  </si>
  <si>
    <t>日本道路株式会社北関東支店NXつくば作業所</t>
  </si>
  <si>
    <t>茨城県常総市新石下18-1</t>
  </si>
  <si>
    <t>総合工事業</t>
  </si>
  <si>
    <t>福田道路株式会社東京本店</t>
  </si>
  <si>
    <t>東京都千代田区一番町6番地</t>
  </si>
  <si>
    <t>日鉄パイプライン＆エンジニアリング株式会社</t>
  </si>
  <si>
    <t>東京都品川区大崎1-5-1大崎センタービル</t>
  </si>
  <si>
    <t>TANAKEN株式会社</t>
  </si>
  <si>
    <t>東京都港区東新橋1-9-1東京汐留ビルディング9階</t>
  </si>
  <si>
    <t>茨城県水戸市笠原町1571番地3</t>
  </si>
  <si>
    <t>EL APSC 合同会社</t>
  </si>
  <si>
    <t>茨城県下妻市鯨2700-1</t>
  </si>
  <si>
    <t>下妻工場</t>
  </si>
  <si>
    <t>-</t>
  </si>
  <si>
    <t>株式会社ウェーブロック・アドバンスト・テクノロジー</t>
  </si>
  <si>
    <t>茨城県古河市下大野1820</t>
  </si>
  <si>
    <t>東京都千代田区内幸町2丁目-2-3</t>
  </si>
  <si>
    <t>茨城セキスイハイム株式会社</t>
  </si>
  <si>
    <t>茨城県水戸市笠原町600-62</t>
  </si>
  <si>
    <t>茨城県県内各工事現場（水戸市除く）</t>
  </si>
  <si>
    <t>茨城県内各所（水戸市除く）</t>
  </si>
  <si>
    <t>関東道路株式会社</t>
  </si>
  <si>
    <t>茨城県筑西市下川島635</t>
  </si>
  <si>
    <t>足立建設株式会社</t>
  </si>
  <si>
    <t>茨城県水戸市東野町167-2</t>
  </si>
  <si>
    <t>足立建設株式会社（茨城県西地域各工事現場）</t>
  </si>
  <si>
    <t>茨城県西地域各所</t>
  </si>
  <si>
    <t>田口金属株式会社</t>
  </si>
  <si>
    <t>東京都新宿区中落合1-20-4</t>
  </si>
  <si>
    <t>田口金属株式会社　古河工場</t>
  </si>
  <si>
    <t>茨城県古河市小堤1951</t>
  </si>
  <si>
    <t>建築材料、鉱物、金属材料等卸売業</t>
  </si>
  <si>
    <t>マースジャパンリミテッド</t>
  </si>
  <si>
    <t>東京都港区港南1-2-70品川シーズンテラス7F</t>
  </si>
  <si>
    <t>茨城県坂東市緑の里2</t>
  </si>
  <si>
    <t>飲料・たばこ・飼料製造業</t>
  </si>
  <si>
    <t>大日精化工業株式会社坂東製造事業所</t>
  </si>
  <si>
    <t>茨城県坂東市緑の里10番</t>
  </si>
  <si>
    <t>化学工業</t>
  </si>
  <si>
    <t>旭化成リフォーム(株)リモデリング営業所</t>
  </si>
  <si>
    <t>東京都新宿区西新宿2-4-1　新宿NSビル10階</t>
  </si>
  <si>
    <t>旭化成建材株式会社　堺工場社宅　解体工事</t>
  </si>
  <si>
    <t>茨城県猿島郡境町上小橋55-1</t>
  </si>
  <si>
    <t>茨城県水戸市加倉井町655</t>
  </si>
  <si>
    <t>職別工事業</t>
  </si>
  <si>
    <t>栃木県小山市土塔241-7</t>
  </si>
  <si>
    <t>茨城支店</t>
  </si>
  <si>
    <t>各工事作業所</t>
  </si>
  <si>
    <t>キヤノンエコロジーインダストリー株式会社</t>
  </si>
  <si>
    <t>茨城県坂東市馬立1234</t>
  </si>
  <si>
    <t>機械等修理業</t>
  </si>
  <si>
    <t>グランディハウス株式会社</t>
  </si>
  <si>
    <t>栃木県宇都宮市
大通り4-3-18</t>
  </si>
  <si>
    <t>グランディハウス株式会社　建築部　県南建築課</t>
  </si>
  <si>
    <t>栃木県小山市東城南5-1-9</t>
  </si>
  <si>
    <t>積水ハウス株式会社関東工場</t>
    <phoneticPr fontId="3"/>
  </si>
  <si>
    <t>ヤマザキビスケット株式会社 古河事業所</t>
    <phoneticPr fontId="3"/>
  </si>
  <si>
    <t>日本バイリーン株式会社 東京工場</t>
    <rPh sb="0" eb="2">
      <t>ニホン</t>
    </rPh>
    <rPh sb="7" eb="11">
      <t>カブシキガイシャ</t>
    </rPh>
    <rPh sb="12" eb="14">
      <t>トウキョウ</t>
    </rPh>
    <rPh sb="14" eb="16">
      <t>コウジョウ</t>
    </rPh>
    <phoneticPr fontId="3"/>
  </si>
  <si>
    <t>アイオン株式会社              関東工場</t>
    <rPh sb="4" eb="8">
      <t>カブシキガイシャ</t>
    </rPh>
    <rPh sb="22" eb="24">
      <t>カントウ</t>
    </rPh>
    <rPh sb="24" eb="26">
      <t>コウジョウ</t>
    </rPh>
    <phoneticPr fontId="3"/>
  </si>
  <si>
    <t>株式会社きもと     茨城工場</t>
    <rPh sb="0" eb="4">
      <t>カブシキガイシャ</t>
    </rPh>
    <rPh sb="12" eb="14">
      <t>イバラキ</t>
    </rPh>
    <rPh sb="14" eb="16">
      <t>コウジョウ</t>
    </rPh>
    <phoneticPr fontId="3"/>
  </si>
  <si>
    <t>龍田化学株式会社     古河工場</t>
    <rPh sb="0" eb="2">
      <t>タツタ</t>
    </rPh>
    <rPh sb="2" eb="4">
      <t>カガク</t>
    </rPh>
    <rPh sb="4" eb="8">
      <t>カブシキガイシャ</t>
    </rPh>
    <rPh sb="13" eb="15">
      <t>コガ</t>
    </rPh>
    <rPh sb="15" eb="17">
      <t>コウジョウ</t>
    </rPh>
    <phoneticPr fontId="3"/>
  </si>
  <si>
    <t>積水ハウス株式会社東日本プロダクトセンター 関東工場</t>
    <phoneticPr fontId="3"/>
  </si>
  <si>
    <t>ベルテクス株式会社 結城工場</t>
    <rPh sb="5" eb="9">
      <t>カブシキガイシャ</t>
    </rPh>
    <rPh sb="10" eb="14">
      <t>ユウキコウジョウ</t>
    </rPh>
    <phoneticPr fontId="3"/>
  </si>
  <si>
    <t>株式会社大紀アルミニウム工業所 結城工場</t>
    <rPh sb="0" eb="4">
      <t>カブシキガイシャ</t>
    </rPh>
    <rPh sb="4" eb="6">
      <t>ダイキ</t>
    </rPh>
    <rPh sb="12" eb="15">
      <t>コウギョウショ</t>
    </rPh>
    <rPh sb="16" eb="18">
      <t>ユウキ</t>
    </rPh>
    <rPh sb="18" eb="20">
      <t>コウジョウ</t>
    </rPh>
    <phoneticPr fontId="3"/>
  </si>
  <si>
    <t>本州製罐株式会社   結城工場</t>
    <rPh sb="0" eb="2">
      <t>ホンシュウ</t>
    </rPh>
    <rPh sb="2" eb="3">
      <t>セイ</t>
    </rPh>
    <rPh sb="3" eb="4">
      <t>カン</t>
    </rPh>
    <rPh sb="4" eb="8">
      <t>カブシキガイシャ</t>
    </rPh>
    <rPh sb="11" eb="15">
      <t>ユウキコウジョウ</t>
    </rPh>
    <phoneticPr fontId="3"/>
  </si>
  <si>
    <t>カルビー株式会社東日本事業本部 下妻工場</t>
    <rPh sb="4" eb="8">
      <t>カブシキガイシャ</t>
    </rPh>
    <rPh sb="8" eb="9">
      <t>ヒガシ</t>
    </rPh>
    <rPh sb="9" eb="11">
      <t>ニホン</t>
    </rPh>
    <rPh sb="11" eb="15">
      <t>ジギョウホンブ</t>
    </rPh>
    <rPh sb="16" eb="18">
      <t>シモツマ</t>
    </rPh>
    <rPh sb="18" eb="20">
      <t>コウジョウ</t>
    </rPh>
    <phoneticPr fontId="3"/>
  </si>
  <si>
    <t>日本道路株式会社    北関東支店</t>
    <phoneticPr fontId="3"/>
  </si>
  <si>
    <t>キユーピータマゴ株式会社 筑波工場</t>
    <rPh sb="8" eb="12">
      <t>カブシキガイシャ</t>
    </rPh>
    <rPh sb="13" eb="15">
      <t>ツクバ</t>
    </rPh>
    <rPh sb="15" eb="17">
      <t>コウジョウ</t>
    </rPh>
    <phoneticPr fontId="3"/>
  </si>
  <si>
    <t>株式会社レゾナック 下館事業所</t>
    <phoneticPr fontId="3"/>
  </si>
  <si>
    <t>株式会社武井工業所 明野工場</t>
    <phoneticPr fontId="3"/>
  </si>
  <si>
    <t>株式会社レゾナック 下館事業所（五所宮）</t>
    <rPh sb="0" eb="4">
      <t>カブシキカイシャ</t>
    </rPh>
    <phoneticPr fontId="3"/>
  </si>
  <si>
    <t>株式会社錢高組東京支社</t>
  </si>
  <si>
    <t>東京都千代田区一番町31</t>
  </si>
  <si>
    <t>首都圏中央連絡自動車道　弓田舗装工事</t>
  </si>
  <si>
    <t>茨城県坂東市弓田1114-5</t>
  </si>
  <si>
    <t>株式会社武井工業所　岩瀬工場</t>
    <rPh sb="0" eb="4">
      <t>カブシキガイシャ</t>
    </rPh>
    <rPh sb="4" eb="9">
      <t>タケイコウギョウショ</t>
    </rPh>
    <rPh sb="10" eb="14">
      <t>イワセコウジョウ</t>
    </rPh>
    <phoneticPr fontId="3"/>
  </si>
  <si>
    <t>黒沢建設株式会社　　関東桜川工場</t>
    <rPh sb="0" eb="2">
      <t>クロサワ</t>
    </rPh>
    <rPh sb="2" eb="4">
      <t>ケンセツ</t>
    </rPh>
    <rPh sb="4" eb="8">
      <t>カブシキガイシャ</t>
    </rPh>
    <rPh sb="10" eb="12">
      <t>カントウ</t>
    </rPh>
    <rPh sb="12" eb="14">
      <t>サクラガワ</t>
    </rPh>
    <rPh sb="14" eb="16">
      <t>コウジョウ</t>
    </rPh>
    <phoneticPr fontId="3"/>
  </si>
  <si>
    <t>窯業・土石製品製造業</t>
    <rPh sb="0" eb="2">
      <t>ヨウギョウ</t>
    </rPh>
    <rPh sb="3" eb="5">
      <t>ドセキ</t>
    </rPh>
    <rPh sb="5" eb="7">
      <t>セイヒン</t>
    </rPh>
    <rPh sb="7" eb="10">
      <t>セイゾウギョウ</t>
    </rPh>
    <phoneticPr fontId="3"/>
  </si>
  <si>
    <t>食料品製造業</t>
    <phoneticPr fontId="3"/>
  </si>
  <si>
    <t>旭化成建材株式会社　境工場</t>
    <rPh sb="0" eb="1">
      <t>アサヒ</t>
    </rPh>
    <rPh sb="1" eb="3">
      <t>カセイ</t>
    </rPh>
    <rPh sb="3" eb="5">
      <t>ケンザイ</t>
    </rPh>
    <rPh sb="5" eb="9">
      <t>カブシキガイシャ</t>
    </rPh>
    <rPh sb="10" eb="11">
      <t>サカイ</t>
    </rPh>
    <rPh sb="11" eb="13">
      <t>コウジョウ</t>
    </rPh>
    <phoneticPr fontId="3"/>
  </si>
  <si>
    <t>大和リース株式会社　水戸支店</t>
    <phoneticPr fontId="3"/>
  </si>
  <si>
    <t>世紀東急工業株式会社茨城営業所</t>
    <phoneticPr fontId="3"/>
  </si>
  <si>
    <t>川上建設株式会社　　小山支社</t>
    <phoneticPr fontId="3"/>
  </si>
  <si>
    <t>戸田建設（株）　　　関東支店</t>
    <phoneticPr fontId="3"/>
  </si>
  <si>
    <t>飛鳥建設株式会社　　首都圏エリア</t>
    <rPh sb="0" eb="4">
      <t>アスカケンセツ</t>
    </rPh>
    <rPh sb="4" eb="8">
      <t>カブシキガイシャ</t>
    </rPh>
    <rPh sb="10" eb="13">
      <t>シュトケン</t>
    </rPh>
    <phoneticPr fontId="3"/>
  </si>
  <si>
    <t>株式会社イチケン　　東京支店</t>
    <rPh sb="0" eb="4">
      <t>カブシキガイシャ</t>
    </rPh>
    <rPh sb="10" eb="12">
      <t>トウキョウ</t>
    </rPh>
    <rPh sb="12" eb="14">
      <t>シテン</t>
    </rPh>
    <phoneticPr fontId="3"/>
  </si>
  <si>
    <t>茨城県管轄内建設現場　　　猿島郡境町上小橋　他32件</t>
    <rPh sb="16" eb="17">
      <t>サカイ</t>
    </rPh>
    <rPh sb="17" eb="18">
      <t>マチ</t>
    </rPh>
    <rPh sb="18" eb="19">
      <t>カミ</t>
    </rPh>
    <phoneticPr fontId="3"/>
  </si>
  <si>
    <t>JFEエンジニアリング株式会社　横浜本社　</t>
    <rPh sb="16" eb="20">
      <t>ヨコハマホンシャ</t>
    </rPh>
    <phoneticPr fontId="3"/>
  </si>
  <si>
    <t>JFEエンジニアリング株式会社　東京本社</t>
    <rPh sb="16" eb="18">
      <t>トウキョウ</t>
    </rPh>
    <rPh sb="18" eb="20">
      <t>ホンシャ</t>
    </rPh>
    <phoneticPr fontId="3"/>
  </si>
  <si>
    <t>山崎製パン株式会社  古河工場</t>
    <rPh sb="0" eb="2">
      <t>ヤマザキ</t>
    </rPh>
    <rPh sb="2" eb="3">
      <t>セイ</t>
    </rPh>
    <rPh sb="5" eb="9">
      <t>カブシキガイシャ</t>
    </rPh>
    <rPh sb="11" eb="15">
      <t>コガコウジョウ</t>
    </rPh>
    <phoneticPr fontId="3"/>
  </si>
  <si>
    <t>株式会社ＬＩＸＩＬ下妻工場</t>
    <rPh sb="0" eb="4">
      <t>カブシキガイシャ</t>
    </rPh>
    <rPh sb="9" eb="13">
      <t>シモツマコウジョウ</t>
    </rPh>
    <phoneticPr fontId="3"/>
  </si>
  <si>
    <t>昭永ケミカル株式会社 つくば工場</t>
    <rPh sb="0" eb="1">
      <t>アキラ</t>
    </rPh>
    <rPh sb="1" eb="2">
      <t>ヒサシ</t>
    </rPh>
    <rPh sb="6" eb="10">
      <t>カブシキガイシャ</t>
    </rPh>
    <rPh sb="14" eb="16">
      <t>コウジョウ</t>
    </rPh>
    <phoneticPr fontId="3"/>
  </si>
  <si>
    <t>ＳＭＣプレコンクリート株式会社    茨城工場</t>
    <rPh sb="11" eb="15">
      <t>カブシキガイシャ</t>
    </rPh>
    <rPh sb="19" eb="21">
      <t>イバラキ</t>
    </rPh>
    <rPh sb="21" eb="23">
      <t>コウジョウ</t>
    </rPh>
    <phoneticPr fontId="3"/>
  </si>
  <si>
    <t>日本パワーファスニング株式会社  北関東事業所</t>
    <phoneticPr fontId="3"/>
  </si>
  <si>
    <t>アールエム東セロ株式会社 茨城工場</t>
  </si>
  <si>
    <t>茨城総支社         石下電柱置場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</si>
</sst>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_);[Red]\(#,##0\)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8"/>
      <name val="ＭＳ ゴシック"/>
      <family val="3"/>
      <charset val="128"/>
    </font>
    <font>
      <sz val="12"/>
      <name val="ＭＳ ゴシック"/>
      <family val="3"/>
      <charset val="128"/>
    </font>
    <font>
      <sz val="9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5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hair">
        <color indexed="64"/>
      </right>
      <top style="dotted">
        <color indexed="64"/>
      </top>
      <bottom style="dotted">
        <color indexed="64"/>
      </bottom>
      <diagonal/>
    </border>
    <border>
      <left style="hair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hair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dotted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06">
    <xf numFmtId="0" fontId="0" fillId="0" borderId="0" xfId="0">
      <alignment vertical="center"/>
    </xf>
    <xf numFmtId="176" fontId="4" fillId="0" borderId="0" xfId="0" applyNumberFormat="1" applyFont="1" applyFill="1" applyAlignment="1">
      <alignment horizontal="right" vertical="center"/>
    </xf>
    <xf numFmtId="176" fontId="5" fillId="0" borderId="19" xfId="0" applyNumberFormat="1" applyFont="1" applyFill="1" applyBorder="1" applyAlignment="1">
      <alignment horizontal="center" vertical="center" wrapText="1" shrinkToFit="1"/>
    </xf>
    <xf numFmtId="0" fontId="4" fillId="0" borderId="23" xfId="0" applyFont="1" applyFill="1" applyBorder="1" applyAlignment="1">
      <alignment horizontal="left" vertical="center" wrapText="1" shrinkToFit="1"/>
    </xf>
    <xf numFmtId="0" fontId="4" fillId="0" borderId="24" xfId="0" applyFont="1" applyFill="1" applyBorder="1" applyAlignment="1">
      <alignment vertical="center" wrapText="1" shrinkToFit="1"/>
    </xf>
    <xf numFmtId="0" fontId="4" fillId="0" borderId="25" xfId="0" applyFont="1" applyFill="1" applyBorder="1" applyAlignment="1">
      <alignment vertical="center" wrapText="1" shrinkToFit="1"/>
    </xf>
    <xf numFmtId="38" fontId="4" fillId="0" borderId="24" xfId="1" applyFont="1" applyFill="1" applyBorder="1" applyAlignment="1">
      <alignment horizontal="right" vertical="center"/>
    </xf>
    <xf numFmtId="38" fontId="4" fillId="0" borderId="26" xfId="1" applyFont="1" applyFill="1" applyBorder="1" applyAlignment="1">
      <alignment horizontal="right" vertical="center"/>
    </xf>
    <xf numFmtId="0" fontId="4" fillId="0" borderId="27" xfId="0" applyFont="1" applyFill="1" applyBorder="1" applyAlignment="1">
      <alignment horizontal="left" vertical="center" wrapText="1" shrinkToFit="1"/>
    </xf>
    <xf numFmtId="0" fontId="4" fillId="0" borderId="28" xfId="0" applyFont="1" applyFill="1" applyBorder="1" applyAlignment="1">
      <alignment vertical="center" wrapText="1" shrinkToFit="1"/>
    </xf>
    <xf numFmtId="0" fontId="4" fillId="0" borderId="29" xfId="0" applyFont="1" applyFill="1" applyBorder="1" applyAlignment="1">
      <alignment vertical="center" wrapText="1" shrinkToFit="1"/>
    </xf>
    <xf numFmtId="38" fontId="4" fillId="0" borderId="28" xfId="1" applyFont="1" applyFill="1" applyBorder="1" applyAlignment="1">
      <alignment horizontal="right" vertical="center"/>
    </xf>
    <xf numFmtId="38" fontId="4" fillId="0" borderId="30" xfId="1" applyFont="1" applyFill="1" applyBorder="1" applyAlignment="1">
      <alignment horizontal="right" vertical="center"/>
    </xf>
    <xf numFmtId="0" fontId="4" fillId="0" borderId="22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 wrapText="1" shrinkToFit="1"/>
    </xf>
    <xf numFmtId="0" fontId="4" fillId="0" borderId="0" xfId="0" applyFont="1" applyFill="1" applyAlignment="1">
      <alignment vertical="center" wrapText="1" shrinkToFit="1"/>
    </xf>
    <xf numFmtId="0" fontId="5" fillId="0" borderId="0" xfId="0" applyFont="1" applyFill="1" applyAlignment="1">
      <alignment horizontal="center" vertical="center"/>
    </xf>
    <xf numFmtId="0" fontId="5" fillId="0" borderId="14" xfId="0" applyFont="1" applyFill="1" applyBorder="1" applyAlignment="1">
      <alignment horizontal="center" vertical="center" wrapText="1" shrinkToFit="1"/>
    </xf>
    <xf numFmtId="0" fontId="5" fillId="0" borderId="19" xfId="0" applyFont="1" applyFill="1" applyBorder="1" applyAlignment="1">
      <alignment horizontal="center" vertical="center" wrapText="1" shrinkToFit="1"/>
    </xf>
    <xf numFmtId="0" fontId="5" fillId="0" borderId="20" xfId="0" applyFont="1" applyFill="1" applyBorder="1" applyAlignment="1">
      <alignment horizontal="center" vertical="center" wrapText="1" shrinkToFit="1"/>
    </xf>
    <xf numFmtId="176" fontId="5" fillId="0" borderId="20" xfId="0" applyNumberFormat="1" applyFont="1" applyFill="1" applyBorder="1" applyAlignment="1">
      <alignment horizontal="center" vertical="center" wrapText="1" shrinkToFit="1"/>
    </xf>
    <xf numFmtId="0" fontId="5" fillId="0" borderId="0" xfId="0" applyFont="1" applyFill="1" applyBorder="1" applyAlignment="1">
      <alignment horizontal="center" vertical="center"/>
    </xf>
    <xf numFmtId="0" fontId="4" fillId="0" borderId="0" xfId="0" applyFont="1" applyFill="1">
      <alignment vertical="center"/>
    </xf>
    <xf numFmtId="0" fontId="4" fillId="0" borderId="1" xfId="0" applyFont="1" applyFill="1" applyBorder="1" applyAlignment="1">
      <alignment horizontal="left" vertical="center" wrapText="1" shrinkToFit="1"/>
    </xf>
    <xf numFmtId="0" fontId="4" fillId="0" borderId="1" xfId="0" applyFont="1" applyFill="1" applyBorder="1" applyAlignment="1">
      <alignment vertical="center" wrapText="1" shrinkToFit="1"/>
    </xf>
    <xf numFmtId="38" fontId="4" fillId="2" borderId="26" xfId="1" applyFont="1" applyFill="1" applyBorder="1" applyAlignment="1">
      <alignment horizontal="right" vertical="center"/>
    </xf>
    <xf numFmtId="38" fontId="4" fillId="2" borderId="30" xfId="1" applyFont="1" applyFill="1" applyBorder="1" applyAlignment="1">
      <alignment horizontal="right" vertical="center"/>
    </xf>
    <xf numFmtId="38" fontId="4" fillId="3" borderId="26" xfId="1" applyFont="1" applyFill="1" applyBorder="1" applyAlignment="1">
      <alignment horizontal="right" vertical="center"/>
    </xf>
    <xf numFmtId="38" fontId="4" fillId="3" borderId="30" xfId="1" applyFont="1" applyFill="1" applyBorder="1" applyAlignment="1">
      <alignment horizontal="right" vertical="center"/>
    </xf>
    <xf numFmtId="0" fontId="4" fillId="4" borderId="27" xfId="0" applyFont="1" applyFill="1" applyBorder="1" applyAlignment="1">
      <alignment horizontal="left" vertical="center" wrapText="1" shrinkToFit="1"/>
    </xf>
    <xf numFmtId="0" fontId="4" fillId="4" borderId="28" xfId="0" applyFont="1" applyFill="1" applyBorder="1" applyAlignment="1">
      <alignment vertical="center" wrapText="1" shrinkToFit="1"/>
    </xf>
    <xf numFmtId="0" fontId="4" fillId="4" borderId="29" xfId="0" applyFont="1" applyFill="1" applyBorder="1" applyAlignment="1">
      <alignment vertical="center" wrapText="1" shrinkToFit="1"/>
    </xf>
    <xf numFmtId="38" fontId="4" fillId="4" borderId="28" xfId="1" applyFont="1" applyFill="1" applyBorder="1" applyAlignment="1">
      <alignment horizontal="right" vertical="center"/>
    </xf>
    <xf numFmtId="38" fontId="4" fillId="4" borderId="30" xfId="1" applyFont="1" applyFill="1" applyBorder="1" applyAlignment="1">
      <alignment horizontal="right" vertical="center"/>
    </xf>
    <xf numFmtId="0" fontId="4" fillId="0" borderId="34" xfId="0" applyFont="1" applyFill="1" applyBorder="1" applyAlignment="1">
      <alignment horizontal="left" vertical="center" wrapText="1" shrinkToFit="1"/>
    </xf>
    <xf numFmtId="0" fontId="4" fillId="0" borderId="35" xfId="0" applyFont="1" applyFill="1" applyBorder="1" applyAlignment="1">
      <alignment vertical="center" wrapText="1" shrinkToFit="1"/>
    </xf>
    <xf numFmtId="0" fontId="4" fillId="0" borderId="36" xfId="0" applyFont="1" applyFill="1" applyBorder="1" applyAlignment="1">
      <alignment vertical="center" wrapText="1" shrinkToFit="1"/>
    </xf>
    <xf numFmtId="38" fontId="4" fillId="0" borderId="35" xfId="1" applyFont="1" applyFill="1" applyBorder="1" applyAlignment="1">
      <alignment horizontal="right" vertical="center"/>
    </xf>
    <xf numFmtId="38" fontId="4" fillId="0" borderId="37" xfId="1" applyFont="1" applyFill="1" applyBorder="1" applyAlignment="1">
      <alignment horizontal="right" vertical="center"/>
    </xf>
    <xf numFmtId="38" fontId="4" fillId="2" borderId="37" xfId="1" applyFont="1" applyFill="1" applyBorder="1" applyAlignment="1">
      <alignment horizontal="right" vertical="center"/>
    </xf>
    <xf numFmtId="38" fontId="4" fillId="3" borderId="37" xfId="1" applyFont="1" applyFill="1" applyBorder="1" applyAlignment="1">
      <alignment horizontal="right" vertical="center"/>
    </xf>
    <xf numFmtId="14" fontId="4" fillId="0" borderId="32" xfId="0" applyNumberFormat="1" applyFont="1" applyFill="1" applyBorder="1" applyAlignment="1">
      <alignment vertical="center" wrapText="1" shrinkToFit="1"/>
    </xf>
    <xf numFmtId="14" fontId="4" fillId="0" borderId="33" xfId="0" applyNumberFormat="1" applyFont="1" applyFill="1" applyBorder="1" applyAlignment="1">
      <alignment vertical="center" wrapText="1" shrinkToFit="1"/>
    </xf>
    <xf numFmtId="0" fontId="4" fillId="0" borderId="33" xfId="0" applyFont="1" applyFill="1" applyBorder="1" applyAlignment="1">
      <alignment vertical="center" wrapText="1" shrinkToFit="1"/>
    </xf>
    <xf numFmtId="0" fontId="4" fillId="0" borderId="38" xfId="0" applyFont="1" applyFill="1" applyBorder="1" applyAlignment="1">
      <alignment vertical="center" wrapText="1" shrinkToFit="1"/>
    </xf>
    <xf numFmtId="0" fontId="4" fillId="0" borderId="39" xfId="0" applyFont="1" applyFill="1" applyBorder="1" applyAlignment="1">
      <alignment horizontal="center" vertical="center"/>
    </xf>
    <xf numFmtId="0" fontId="4" fillId="0" borderId="40" xfId="0" applyFont="1" applyFill="1" applyBorder="1" applyAlignment="1">
      <alignment horizontal="center" vertical="center"/>
    </xf>
    <xf numFmtId="0" fontId="4" fillId="0" borderId="42" xfId="0" applyFont="1" applyFill="1" applyBorder="1" applyAlignment="1">
      <alignment vertical="center" wrapText="1" shrinkToFit="1"/>
    </xf>
    <xf numFmtId="0" fontId="4" fillId="0" borderId="41" xfId="0" applyFont="1" applyFill="1" applyBorder="1" applyAlignment="1">
      <alignment horizontal="left" vertical="center" wrapText="1" shrinkToFit="1"/>
    </xf>
    <xf numFmtId="0" fontId="4" fillId="0" borderId="43" xfId="0" applyFont="1" applyFill="1" applyBorder="1" applyAlignment="1">
      <alignment vertical="center" wrapText="1" shrinkToFit="1"/>
    </xf>
    <xf numFmtId="38" fontId="4" fillId="0" borderId="42" xfId="1" applyFont="1" applyFill="1" applyBorder="1" applyAlignment="1">
      <alignment horizontal="right" vertical="center"/>
    </xf>
    <xf numFmtId="38" fontId="4" fillId="0" borderId="44" xfId="1" applyFont="1" applyFill="1" applyBorder="1" applyAlignment="1">
      <alignment horizontal="right" vertical="center"/>
    </xf>
    <xf numFmtId="38" fontId="4" fillId="0" borderId="45" xfId="1" applyFont="1" applyFill="1" applyBorder="1" applyAlignment="1">
      <alignment horizontal="right" vertical="center"/>
    </xf>
    <xf numFmtId="38" fontId="4" fillId="0" borderId="47" xfId="1" applyFont="1" applyFill="1" applyBorder="1" applyAlignment="1">
      <alignment horizontal="right" vertical="center"/>
    </xf>
    <xf numFmtId="38" fontId="4" fillId="2" borderId="45" xfId="1" applyFont="1" applyFill="1" applyBorder="1" applyAlignment="1">
      <alignment horizontal="right" vertical="center"/>
    </xf>
    <xf numFmtId="38" fontId="4" fillId="3" borderId="45" xfId="1" applyFont="1" applyFill="1" applyBorder="1" applyAlignment="1">
      <alignment horizontal="right" vertical="center"/>
    </xf>
    <xf numFmtId="0" fontId="4" fillId="0" borderId="46" xfId="0" applyFont="1" applyFill="1" applyBorder="1" applyAlignment="1">
      <alignment vertical="center" wrapText="1" shrinkToFit="1"/>
    </xf>
    <xf numFmtId="0" fontId="4" fillId="0" borderId="49" xfId="0" applyFont="1" applyFill="1" applyBorder="1" applyAlignment="1">
      <alignment horizontal="center" vertical="center"/>
    </xf>
    <xf numFmtId="0" fontId="4" fillId="0" borderId="50" xfId="0" applyFont="1" applyFill="1" applyBorder="1" applyAlignment="1">
      <alignment vertical="center" wrapText="1" shrinkToFit="1"/>
    </xf>
    <xf numFmtId="0" fontId="4" fillId="0" borderId="49" xfId="0" applyFont="1" applyFill="1" applyBorder="1" applyAlignment="1">
      <alignment vertical="center" wrapText="1" shrinkToFit="1"/>
    </xf>
    <xf numFmtId="38" fontId="4" fillId="0" borderId="49" xfId="1" applyFont="1" applyFill="1" applyBorder="1" applyAlignment="1">
      <alignment horizontal="right" vertical="center"/>
    </xf>
    <xf numFmtId="38" fontId="4" fillId="0" borderId="50" xfId="1" applyFont="1" applyFill="1" applyBorder="1" applyAlignment="1">
      <alignment horizontal="right" vertical="center"/>
    </xf>
    <xf numFmtId="38" fontId="4" fillId="2" borderId="50" xfId="1" applyFont="1" applyFill="1" applyBorder="1" applyAlignment="1">
      <alignment horizontal="right" vertical="center"/>
    </xf>
    <xf numFmtId="38" fontId="4" fillId="3" borderId="50" xfId="1" applyFont="1" applyFill="1" applyBorder="1" applyAlignment="1">
      <alignment horizontal="right" vertical="center"/>
    </xf>
    <xf numFmtId="0" fontId="4" fillId="0" borderId="48" xfId="0" applyFont="1" applyFill="1" applyBorder="1" applyAlignment="1">
      <alignment vertical="center" wrapText="1" shrinkToFit="1"/>
    </xf>
    <xf numFmtId="0" fontId="4" fillId="0" borderId="44" xfId="0" applyFont="1" applyFill="1" applyBorder="1" applyAlignment="1">
      <alignment vertical="center" wrapText="1" shrinkToFit="1"/>
    </xf>
    <xf numFmtId="0" fontId="4" fillId="0" borderId="51" xfId="0" applyFont="1" applyFill="1" applyBorder="1" applyAlignment="1">
      <alignment horizontal="left" vertical="center" wrapText="1" shrinkToFit="1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>
      <alignment vertical="center"/>
    </xf>
    <xf numFmtId="0" fontId="4" fillId="0" borderId="50" xfId="0" applyFont="1" applyFill="1" applyBorder="1" applyAlignment="1">
      <alignment horizontal="left" vertical="center" wrapText="1" shrinkToFit="1"/>
    </xf>
    <xf numFmtId="0" fontId="4" fillId="2" borderId="22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left" vertical="center" wrapText="1" shrinkToFit="1"/>
    </xf>
    <xf numFmtId="0" fontId="4" fillId="2" borderId="28" xfId="0" applyFont="1" applyFill="1" applyBorder="1" applyAlignment="1">
      <alignment vertical="center" wrapText="1" shrinkToFit="1"/>
    </xf>
    <xf numFmtId="38" fontId="7" fillId="2" borderId="30" xfId="1" applyFont="1" applyFill="1" applyBorder="1" applyAlignment="1">
      <alignment horizontal="right" vertical="center"/>
    </xf>
    <xf numFmtId="38" fontId="7" fillId="3" borderId="30" xfId="1" applyFont="1" applyFill="1" applyBorder="1" applyAlignment="1">
      <alignment horizontal="right" vertical="center"/>
    </xf>
    <xf numFmtId="38" fontId="5" fillId="2" borderId="30" xfId="1" applyFont="1" applyFill="1" applyBorder="1" applyAlignment="1">
      <alignment horizontal="right" vertical="center"/>
    </xf>
    <xf numFmtId="38" fontId="5" fillId="3" borderId="30" xfId="1" applyFont="1" applyFill="1" applyBorder="1" applyAlignment="1">
      <alignment horizontal="right" vertical="center"/>
    </xf>
    <xf numFmtId="38" fontId="4" fillId="3" borderId="30" xfId="1" applyFont="1" applyFill="1" applyBorder="1" applyAlignment="1">
      <alignment horizontal="right" vertical="center" wrapText="1"/>
    </xf>
    <xf numFmtId="38" fontId="4" fillId="2" borderId="44" xfId="1" applyFont="1" applyFill="1" applyBorder="1" applyAlignment="1">
      <alignment horizontal="right" vertical="center"/>
    </xf>
    <xf numFmtId="38" fontId="4" fillId="3" borderId="43" xfId="1" applyFont="1" applyFill="1" applyBorder="1" applyAlignment="1">
      <alignment horizontal="right" vertical="center"/>
    </xf>
    <xf numFmtId="38" fontId="4" fillId="2" borderId="49" xfId="1" applyFont="1" applyFill="1" applyBorder="1" applyAlignment="1">
      <alignment horizontal="right" vertical="center"/>
    </xf>
    <xf numFmtId="38" fontId="4" fillId="3" borderId="49" xfId="1" applyFont="1" applyFill="1" applyBorder="1" applyAlignment="1">
      <alignment horizontal="right" vertical="center"/>
    </xf>
    <xf numFmtId="176" fontId="5" fillId="0" borderId="15" xfId="0" applyNumberFormat="1" applyFont="1" applyFill="1" applyBorder="1" applyAlignment="1">
      <alignment horizontal="center" vertical="center" wrapText="1" shrinkToFit="1"/>
    </xf>
    <xf numFmtId="0" fontId="2" fillId="0" borderId="0" xfId="0" applyFont="1" applyFill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 shrinkToFit="1"/>
    </xf>
    <xf numFmtId="0" fontId="5" fillId="0" borderId="10" xfId="0" applyFont="1" applyFill="1" applyBorder="1" applyAlignment="1">
      <alignment horizontal="center" vertical="center" wrapText="1" shrinkToFit="1"/>
    </xf>
    <xf numFmtId="0" fontId="5" fillId="0" borderId="18" xfId="0" applyFont="1" applyFill="1" applyBorder="1" applyAlignment="1">
      <alignment horizontal="center" vertical="center" wrapText="1" shrinkToFit="1"/>
    </xf>
    <xf numFmtId="0" fontId="5" fillId="0" borderId="3" xfId="0" applyFont="1" applyFill="1" applyBorder="1" applyAlignment="1">
      <alignment horizontal="center" vertical="center" wrapText="1" shrinkToFit="1"/>
    </xf>
    <xf numFmtId="0" fontId="5" fillId="0" borderId="4" xfId="0" applyFont="1" applyFill="1" applyBorder="1" applyAlignment="1">
      <alignment horizontal="center" vertical="center" wrapText="1" shrinkToFit="1"/>
    </xf>
    <xf numFmtId="0" fontId="5" fillId="0" borderId="11" xfId="0" applyFont="1" applyFill="1" applyBorder="1" applyAlignment="1">
      <alignment horizontal="center" vertical="center" wrapText="1" shrinkToFit="1"/>
    </xf>
    <xf numFmtId="0" fontId="5" fillId="0" borderId="12" xfId="0" applyFont="1" applyFill="1" applyBorder="1" applyAlignment="1">
      <alignment horizontal="center" vertical="center" wrapText="1" shrinkToFit="1"/>
    </xf>
    <xf numFmtId="0" fontId="5" fillId="0" borderId="5" xfId="0" applyFont="1" applyFill="1" applyBorder="1" applyAlignment="1">
      <alignment horizontal="center" vertical="center" wrapText="1" shrinkToFit="1"/>
    </xf>
    <xf numFmtId="0" fontId="5" fillId="0" borderId="13" xfId="0" applyFont="1" applyFill="1" applyBorder="1" applyAlignment="1">
      <alignment horizontal="center" vertical="center" wrapText="1" shrinkToFit="1"/>
    </xf>
    <xf numFmtId="0" fontId="5" fillId="0" borderId="21" xfId="0" applyFont="1" applyFill="1" applyBorder="1" applyAlignment="1">
      <alignment horizontal="center" vertical="center" wrapText="1" shrinkToFit="1"/>
    </xf>
    <xf numFmtId="176" fontId="5" fillId="0" borderId="6" xfId="0" applyNumberFormat="1" applyFont="1" applyFill="1" applyBorder="1" applyAlignment="1">
      <alignment horizontal="center" vertical="center" wrapText="1" shrinkToFit="1"/>
    </xf>
    <xf numFmtId="176" fontId="5" fillId="0" borderId="7" xfId="0" applyNumberFormat="1" applyFont="1" applyFill="1" applyBorder="1" applyAlignment="1">
      <alignment horizontal="center" vertical="center" wrapText="1" shrinkToFit="1"/>
    </xf>
    <xf numFmtId="176" fontId="5" fillId="0" borderId="8" xfId="0" applyNumberFormat="1" applyFont="1" applyFill="1" applyBorder="1" applyAlignment="1">
      <alignment horizontal="center" vertical="center" wrapText="1" shrinkToFit="1"/>
    </xf>
    <xf numFmtId="0" fontId="5" fillId="0" borderId="9" xfId="0" applyFont="1" applyFill="1" applyBorder="1" applyAlignment="1">
      <alignment horizontal="center" vertical="center" wrapText="1" shrinkToFit="1"/>
    </xf>
    <xf numFmtId="0" fontId="5" fillId="0" borderId="17" xfId="0" applyFont="1" applyFill="1" applyBorder="1" applyAlignment="1">
      <alignment horizontal="center" vertical="center" wrapText="1" shrinkToFit="1"/>
    </xf>
    <xf numFmtId="176" fontId="5" fillId="0" borderId="15" xfId="0" applyNumberFormat="1" applyFont="1" applyFill="1" applyBorder="1" applyAlignment="1">
      <alignment horizontal="center" vertical="center" wrapText="1" shrinkToFit="1"/>
    </xf>
    <xf numFmtId="176" fontId="5" fillId="0" borderId="16" xfId="0" applyNumberFormat="1" applyFont="1" applyFill="1" applyBorder="1" applyAlignment="1">
      <alignment horizontal="center" vertical="center" wrapText="1" shrinkToFit="1"/>
    </xf>
    <xf numFmtId="0" fontId="5" fillId="0" borderId="31" xfId="0" applyFont="1" applyFill="1" applyBorder="1" applyAlignment="1">
      <alignment horizontal="center" vertical="center" wrapText="1" shrinkToFit="1"/>
    </xf>
    <xf numFmtId="177" fontId="8" fillId="0" borderId="0" xfId="0" applyNumberFormat="1" applyFont="1" applyFill="1" applyAlignment="1">
      <alignment horizontal="right" vertical="center"/>
    </xf>
    <xf numFmtId="177" fontId="4" fillId="0" borderId="0" xfId="0" applyNumberFormat="1" applyFont="1" applyFill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G118"/>
  <sheetViews>
    <sheetView tabSelected="1" view="pageBreakPreview" topLeftCell="D1" zoomScale="70" zoomScaleNormal="70" zoomScaleSheetLayoutView="70" workbookViewId="0">
      <pane ySplit="5" topLeftCell="A6" activePane="bottomLeft" state="frozen"/>
      <selection pane="bottomLeft" activeCell="G25" sqref="G25"/>
    </sheetView>
  </sheetViews>
  <sheetFormatPr defaultRowHeight="13.5" x14ac:dyDescent="0.15"/>
  <cols>
    <col min="1" max="1" width="3.875" style="14" customWidth="1"/>
    <col min="2" max="2" width="18.75" style="15" customWidth="1"/>
    <col min="3" max="3" width="25" style="16" customWidth="1"/>
    <col min="4" max="4" width="18.75" style="16" customWidth="1"/>
    <col min="5" max="5" width="25" style="16" customWidth="1"/>
    <col min="6" max="6" width="18.625" style="16" customWidth="1"/>
    <col min="7" max="8" width="10" style="16" customWidth="1"/>
    <col min="9" max="16" width="10" style="1" customWidth="1"/>
    <col min="17" max="17" width="16.25" style="16" customWidth="1"/>
    <col min="18" max="19" width="9" style="23"/>
    <col min="20" max="20" width="9" style="23" customWidth="1"/>
    <col min="21" max="16384" width="9" style="23"/>
  </cols>
  <sheetData>
    <row r="1" spans="1:17" ht="17.25" x14ac:dyDescent="0.15">
      <c r="A1" s="85" t="s">
        <v>186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</row>
    <row r="2" spans="1:17" ht="24" customHeight="1" thickBot="1" x14ac:dyDescent="0.2">
      <c r="B2" s="24"/>
      <c r="C2" s="25" t="s">
        <v>0</v>
      </c>
    </row>
    <row r="3" spans="1:17" s="17" customFormat="1" ht="13.5" customHeight="1" x14ac:dyDescent="0.15">
      <c r="A3" s="86" t="s">
        <v>1</v>
      </c>
      <c r="B3" s="89" t="s">
        <v>2</v>
      </c>
      <c r="C3" s="90"/>
      <c r="D3" s="89" t="s">
        <v>3</v>
      </c>
      <c r="E3" s="90"/>
      <c r="F3" s="93" t="s">
        <v>4</v>
      </c>
      <c r="G3" s="96" t="s">
        <v>5</v>
      </c>
      <c r="H3" s="97"/>
      <c r="I3" s="97"/>
      <c r="J3" s="97"/>
      <c r="K3" s="98"/>
      <c r="L3" s="96" t="s">
        <v>6</v>
      </c>
      <c r="M3" s="97"/>
      <c r="N3" s="97"/>
      <c r="O3" s="97"/>
      <c r="P3" s="98"/>
      <c r="Q3" s="99" t="s">
        <v>7</v>
      </c>
    </row>
    <row r="4" spans="1:17" s="17" customFormat="1" ht="13.5" customHeight="1" x14ac:dyDescent="0.15">
      <c r="A4" s="87"/>
      <c r="B4" s="91"/>
      <c r="C4" s="92"/>
      <c r="D4" s="91"/>
      <c r="E4" s="92"/>
      <c r="F4" s="94"/>
      <c r="G4" s="18" t="s">
        <v>8</v>
      </c>
      <c r="H4" s="18" t="s">
        <v>183</v>
      </c>
      <c r="I4" s="101" t="s">
        <v>184</v>
      </c>
      <c r="J4" s="102"/>
      <c r="K4" s="84" t="s">
        <v>185</v>
      </c>
      <c r="L4" s="18" t="s">
        <v>8</v>
      </c>
      <c r="M4" s="18" t="s">
        <v>183</v>
      </c>
      <c r="N4" s="101" t="s">
        <v>184</v>
      </c>
      <c r="O4" s="102"/>
      <c r="P4" s="84" t="s">
        <v>185</v>
      </c>
      <c r="Q4" s="100"/>
    </row>
    <row r="5" spans="1:17" s="22" customFormat="1" ht="27" x14ac:dyDescent="0.15">
      <c r="A5" s="88"/>
      <c r="B5" s="19" t="s">
        <v>9</v>
      </c>
      <c r="C5" s="20" t="s">
        <v>10</v>
      </c>
      <c r="D5" s="19" t="s">
        <v>11</v>
      </c>
      <c r="E5" s="20" t="s">
        <v>12</v>
      </c>
      <c r="F5" s="95"/>
      <c r="G5" s="21" t="s">
        <v>13</v>
      </c>
      <c r="H5" s="21" t="s">
        <v>13</v>
      </c>
      <c r="I5" s="2" t="s">
        <v>14</v>
      </c>
      <c r="J5" s="2" t="s">
        <v>13</v>
      </c>
      <c r="K5" s="2" t="s">
        <v>14</v>
      </c>
      <c r="L5" s="2" t="s">
        <v>13</v>
      </c>
      <c r="M5" s="2" t="s">
        <v>13</v>
      </c>
      <c r="N5" s="2" t="s">
        <v>14</v>
      </c>
      <c r="O5" s="2" t="s">
        <v>13</v>
      </c>
      <c r="P5" s="2" t="s">
        <v>14</v>
      </c>
      <c r="Q5" s="103"/>
    </row>
    <row r="6" spans="1:17" ht="43.5" customHeight="1" x14ac:dyDescent="0.15">
      <c r="A6" s="13">
        <f t="shared" ref="A6:A15" si="0">ROW()-5</f>
        <v>1</v>
      </c>
      <c r="B6" s="3" t="s">
        <v>15</v>
      </c>
      <c r="C6" s="4" t="s">
        <v>16</v>
      </c>
      <c r="D6" s="3"/>
      <c r="E6" s="4"/>
      <c r="F6" s="5" t="s">
        <v>17</v>
      </c>
      <c r="G6" s="6">
        <v>1107.8</v>
      </c>
      <c r="H6" s="6">
        <v>1045.4000000000001</v>
      </c>
      <c r="I6" s="7">
        <v>941</v>
      </c>
      <c r="J6" s="26">
        <v>2154.5</v>
      </c>
      <c r="K6" s="28">
        <v>1939</v>
      </c>
      <c r="L6" s="7"/>
      <c r="M6" s="7"/>
      <c r="N6" s="7"/>
      <c r="O6" s="26"/>
      <c r="P6" s="28"/>
      <c r="Q6" s="42"/>
    </row>
    <row r="7" spans="1:17" ht="43.5" customHeight="1" x14ac:dyDescent="0.15">
      <c r="A7" s="13">
        <f t="shared" si="0"/>
        <v>2</v>
      </c>
      <c r="B7" s="8" t="s">
        <v>18</v>
      </c>
      <c r="C7" s="9" t="s">
        <v>19</v>
      </c>
      <c r="D7" s="8"/>
      <c r="E7" s="9"/>
      <c r="F7" s="10" t="s">
        <v>17</v>
      </c>
      <c r="G7" s="11">
        <v>1184.7909999999999</v>
      </c>
      <c r="H7" s="11">
        <f>345+250.39+3.85+1.95+3.95+13.3+2.96+7</f>
        <v>628.40000000000009</v>
      </c>
      <c r="I7" s="12"/>
      <c r="J7" s="75">
        <f>233.68+1042.26</f>
        <v>1275.94</v>
      </c>
      <c r="K7" s="76">
        <f>180+750</f>
        <v>930</v>
      </c>
      <c r="L7" s="12"/>
      <c r="M7" s="12"/>
      <c r="N7" s="12"/>
      <c r="O7" s="27"/>
      <c r="P7" s="29"/>
      <c r="Q7" s="43"/>
    </row>
    <row r="8" spans="1:17" ht="43.5" customHeight="1" x14ac:dyDescent="0.15">
      <c r="A8" s="13">
        <f t="shared" si="0"/>
        <v>3</v>
      </c>
      <c r="B8" s="8" t="s">
        <v>328</v>
      </c>
      <c r="C8" s="9" t="s">
        <v>22</v>
      </c>
      <c r="D8" s="8"/>
      <c r="E8" s="9"/>
      <c r="F8" s="10" t="s">
        <v>23</v>
      </c>
      <c r="G8" s="11">
        <v>15592</v>
      </c>
      <c r="H8" s="11">
        <v>15879</v>
      </c>
      <c r="I8" s="12">
        <f>15158</f>
        <v>15158</v>
      </c>
      <c r="J8" s="27">
        <f>11417+1</f>
        <v>11418</v>
      </c>
      <c r="K8" s="29">
        <f>11000+1</f>
        <v>11001</v>
      </c>
      <c r="L8" s="12"/>
      <c r="M8" s="12"/>
      <c r="N8" s="12"/>
      <c r="O8" s="27"/>
      <c r="P8" s="29"/>
      <c r="Q8" s="43"/>
    </row>
    <row r="9" spans="1:17" ht="43.5" customHeight="1" x14ac:dyDescent="0.15">
      <c r="A9" s="13">
        <f t="shared" si="0"/>
        <v>4</v>
      </c>
      <c r="B9" s="8" t="s">
        <v>295</v>
      </c>
      <c r="C9" s="9" t="s">
        <v>22</v>
      </c>
      <c r="D9" s="8"/>
      <c r="E9" s="9"/>
      <c r="F9" s="10" t="s">
        <v>24</v>
      </c>
      <c r="G9" s="11">
        <v>11769</v>
      </c>
      <c r="H9" s="11">
        <v>9380</v>
      </c>
      <c r="I9" s="12">
        <f>5820+1570+380+660</f>
        <v>8430</v>
      </c>
      <c r="J9" s="27">
        <f>5600+1580+429+637</f>
        <v>8246</v>
      </c>
      <c r="K9" s="29">
        <f>5040+1420+390+570</f>
        <v>7420</v>
      </c>
      <c r="L9" s="12"/>
      <c r="M9" s="12"/>
      <c r="N9" s="12"/>
      <c r="O9" s="27"/>
      <c r="P9" s="29"/>
      <c r="Q9" s="43"/>
    </row>
    <row r="10" spans="1:17" ht="43.5" customHeight="1" x14ac:dyDescent="0.15">
      <c r="A10" s="13">
        <f t="shared" si="0"/>
        <v>5</v>
      </c>
      <c r="B10" s="8" t="s">
        <v>25</v>
      </c>
      <c r="C10" s="9" t="s">
        <v>26</v>
      </c>
      <c r="D10" s="8"/>
      <c r="E10" s="9"/>
      <c r="F10" s="10" t="s">
        <v>24</v>
      </c>
      <c r="G10" s="11">
        <v>2953.37</v>
      </c>
      <c r="H10" s="11">
        <v>3058.91</v>
      </c>
      <c r="I10" s="12">
        <f>10+3000+4+4+900</f>
        <v>3918</v>
      </c>
      <c r="J10" s="27">
        <f>4.77+1247.27+4.02+4.77+648.75</f>
        <v>1909.58</v>
      </c>
      <c r="K10" s="29">
        <f>10+3000+4+4+900</f>
        <v>3918</v>
      </c>
      <c r="L10" s="12"/>
      <c r="M10" s="12"/>
      <c r="N10" s="12"/>
      <c r="O10" s="27"/>
      <c r="P10" s="29"/>
      <c r="Q10" s="43"/>
    </row>
    <row r="11" spans="1:17" ht="43.5" customHeight="1" x14ac:dyDescent="0.15">
      <c r="A11" s="13">
        <f t="shared" si="0"/>
        <v>6</v>
      </c>
      <c r="B11" s="30" t="s">
        <v>27</v>
      </c>
      <c r="C11" s="31" t="s">
        <v>232</v>
      </c>
      <c r="D11" s="30"/>
      <c r="E11" s="31"/>
      <c r="F11" s="32" t="s">
        <v>24</v>
      </c>
      <c r="G11" s="33">
        <v>1679.5808</v>
      </c>
      <c r="H11" s="33">
        <v>1691.1809999999998</v>
      </c>
      <c r="I11" s="34">
        <v>1872.6</v>
      </c>
      <c r="J11" s="27">
        <f>1093.4+383.4+98.54+1.4+0+0.045+0.033+0.2</f>
        <v>1577.0180000000003</v>
      </c>
      <c r="K11" s="29">
        <f>1100+400+90+1.5+1+0.05+0.5+0.2</f>
        <v>1593.25</v>
      </c>
      <c r="L11" s="12"/>
      <c r="M11" s="12"/>
      <c r="N11" s="12"/>
      <c r="O11" s="27"/>
      <c r="P11" s="29"/>
      <c r="Q11" s="43"/>
    </row>
    <row r="12" spans="1:17" ht="43.5" customHeight="1" x14ac:dyDescent="0.15">
      <c r="A12" s="13">
        <f t="shared" si="0"/>
        <v>7</v>
      </c>
      <c r="B12" s="8" t="s">
        <v>28</v>
      </c>
      <c r="C12" s="9" t="s">
        <v>29</v>
      </c>
      <c r="D12" s="8"/>
      <c r="E12" s="9"/>
      <c r="F12" s="10" t="s">
        <v>23</v>
      </c>
      <c r="G12" s="11">
        <v>3766.9</v>
      </c>
      <c r="H12" s="11">
        <f>2762.5+645.3+73.5+157.6</f>
        <v>3638.9</v>
      </c>
      <c r="I12" s="12">
        <f>2700+640+70+150</f>
        <v>3560</v>
      </c>
      <c r="J12" s="27">
        <f>2225.8+792.8+93.2</f>
        <v>3111.8</v>
      </c>
      <c r="K12" s="29">
        <f>2160+729+90</f>
        <v>2979</v>
      </c>
      <c r="L12" s="12"/>
      <c r="M12" s="12"/>
      <c r="N12" s="12"/>
      <c r="O12" s="27"/>
      <c r="P12" s="29"/>
      <c r="Q12" s="43"/>
    </row>
    <row r="13" spans="1:17" ht="43.5" customHeight="1" x14ac:dyDescent="0.15">
      <c r="A13" s="13">
        <f t="shared" si="0"/>
        <v>8</v>
      </c>
      <c r="B13" s="8" t="s">
        <v>296</v>
      </c>
      <c r="C13" s="9" t="s">
        <v>30</v>
      </c>
      <c r="D13" s="8"/>
      <c r="E13" s="9"/>
      <c r="F13" s="10" t="s">
        <v>31</v>
      </c>
      <c r="G13" s="11">
        <v>3576.4</v>
      </c>
      <c r="H13" s="11">
        <f>3070.1+4.1+984.4+66.9</f>
        <v>4125.5</v>
      </c>
      <c r="I13" s="12">
        <f>1000+3000+50+2</f>
        <v>4052</v>
      </c>
      <c r="J13" s="27">
        <f>1112.1+3430.7+47.5+3.7</f>
        <v>4593.9999999999991</v>
      </c>
      <c r="K13" s="29">
        <f>1000+3000+50+2</f>
        <v>4052</v>
      </c>
      <c r="L13" s="12"/>
      <c r="M13" s="12"/>
      <c r="N13" s="12"/>
      <c r="O13" s="27"/>
      <c r="P13" s="29"/>
      <c r="Q13" s="43"/>
    </row>
    <row r="14" spans="1:17" ht="43.5" customHeight="1" x14ac:dyDescent="0.15">
      <c r="A14" s="13">
        <f t="shared" si="0"/>
        <v>9</v>
      </c>
      <c r="B14" s="30" t="s">
        <v>32</v>
      </c>
      <c r="C14" s="31" t="s">
        <v>33</v>
      </c>
      <c r="D14" s="30"/>
      <c r="E14" s="31"/>
      <c r="F14" s="32" t="s">
        <v>34</v>
      </c>
      <c r="G14" s="33">
        <v>1799.1</v>
      </c>
      <c r="H14" s="33">
        <v>1430.9</v>
      </c>
      <c r="I14" s="34">
        <f>1210+155+20+15+2+0.5</f>
        <v>1402.5</v>
      </c>
      <c r="J14" s="27">
        <f>1127.1+142+25.3+9.7+0.3</f>
        <v>1304.3999999999999</v>
      </c>
      <c r="K14" s="29">
        <f>1125+140+20+9+0.3</f>
        <v>1294.3</v>
      </c>
      <c r="L14" s="12"/>
      <c r="M14" s="12"/>
      <c r="N14" s="12"/>
      <c r="O14" s="27"/>
      <c r="P14" s="29"/>
      <c r="Q14" s="43"/>
    </row>
    <row r="15" spans="1:17" ht="43.5" customHeight="1" x14ac:dyDescent="0.15">
      <c r="A15" s="13">
        <f t="shared" si="0"/>
        <v>10</v>
      </c>
      <c r="B15" s="8" t="s">
        <v>36</v>
      </c>
      <c r="C15" s="9" t="s">
        <v>188</v>
      </c>
      <c r="D15" s="8"/>
      <c r="E15" s="9"/>
      <c r="F15" s="10" t="s">
        <v>35</v>
      </c>
      <c r="G15" s="11"/>
      <c r="H15" s="11"/>
      <c r="I15" s="12"/>
      <c r="J15" s="27"/>
      <c r="K15" s="29"/>
      <c r="L15" s="12">
        <v>77</v>
      </c>
      <c r="M15" s="12">
        <v>202</v>
      </c>
      <c r="N15" s="12">
        <v>200</v>
      </c>
      <c r="O15" s="27">
        <f>219.9</f>
        <v>219.9</v>
      </c>
      <c r="P15" s="29">
        <f>270</f>
        <v>270</v>
      </c>
      <c r="Q15" s="44"/>
    </row>
    <row r="16" spans="1:17" ht="43.5" customHeight="1" x14ac:dyDescent="0.15">
      <c r="A16" s="13">
        <f>A15+1</f>
        <v>11</v>
      </c>
      <c r="B16" s="8" t="s">
        <v>333</v>
      </c>
      <c r="C16" s="9" t="s">
        <v>187</v>
      </c>
      <c r="D16" s="8"/>
      <c r="E16" s="9"/>
      <c r="F16" s="10" t="s">
        <v>206</v>
      </c>
      <c r="G16" s="11">
        <v>7279.3</v>
      </c>
      <c r="H16" s="11">
        <f>556.4+407.3+16+69.8+61+2.3</f>
        <v>1112.8</v>
      </c>
      <c r="I16" s="12">
        <f>405.5+15.9+14+40.3+0.2</f>
        <v>475.9</v>
      </c>
      <c r="J16" s="27">
        <v>383</v>
      </c>
      <c r="K16" s="29"/>
      <c r="L16" s="12"/>
      <c r="M16" s="12"/>
      <c r="N16" s="12"/>
      <c r="O16" s="27"/>
      <c r="P16" s="29"/>
      <c r="Q16" s="44"/>
    </row>
    <row r="17" spans="1:17" ht="43.5" customHeight="1" x14ac:dyDescent="0.15">
      <c r="A17" s="13">
        <f>ROW()-5</f>
        <v>12</v>
      </c>
      <c r="B17" s="8" t="s">
        <v>297</v>
      </c>
      <c r="C17" s="9" t="s">
        <v>37</v>
      </c>
      <c r="D17" s="8"/>
      <c r="E17" s="9"/>
      <c r="F17" s="10" t="s">
        <v>38</v>
      </c>
      <c r="G17" s="11">
        <v>1787.29</v>
      </c>
      <c r="H17" s="11">
        <f>7.29+919.26+0.72+477.755+4.27+0.007+2.01+0.06</f>
        <v>1411.3720000000001</v>
      </c>
      <c r="I17" s="12">
        <f>1053+515+2+1.2+0.1+8+6+11</f>
        <v>1596.3</v>
      </c>
      <c r="J17" s="27">
        <f>732.91+413.83+3.14+1.62+0+4.78+3.01+2.7</f>
        <v>1161.99</v>
      </c>
      <c r="K17" s="29">
        <f>760+440+3+1.6+0.15+8+1+3</f>
        <v>1216.75</v>
      </c>
      <c r="L17" s="12"/>
      <c r="M17" s="12"/>
      <c r="N17" s="12"/>
      <c r="O17" s="27"/>
      <c r="P17" s="29"/>
      <c r="Q17" s="43"/>
    </row>
    <row r="18" spans="1:17" ht="43.5" customHeight="1" x14ac:dyDescent="0.15">
      <c r="A18" s="13">
        <f>ROW()-5</f>
        <v>13</v>
      </c>
      <c r="B18" s="8" t="s">
        <v>298</v>
      </c>
      <c r="C18" s="9" t="s">
        <v>39</v>
      </c>
      <c r="D18" s="8"/>
      <c r="E18" s="9"/>
      <c r="F18" s="10" t="s">
        <v>35</v>
      </c>
      <c r="G18" s="11"/>
      <c r="H18" s="11"/>
      <c r="I18" s="12"/>
      <c r="J18" s="27"/>
      <c r="K18" s="29"/>
      <c r="L18" s="12">
        <v>100.1</v>
      </c>
      <c r="M18" s="12">
        <v>85.2</v>
      </c>
      <c r="N18" s="12">
        <v>80</v>
      </c>
      <c r="O18" s="27">
        <f>71.8</f>
        <v>71.8</v>
      </c>
      <c r="P18" s="29">
        <f>70</f>
        <v>70</v>
      </c>
      <c r="Q18" s="43"/>
    </row>
    <row r="19" spans="1:17" ht="43.5" customHeight="1" x14ac:dyDescent="0.15">
      <c r="A19" s="13">
        <f>ROW()-5</f>
        <v>14</v>
      </c>
      <c r="B19" s="8" t="s">
        <v>299</v>
      </c>
      <c r="C19" s="9" t="s">
        <v>40</v>
      </c>
      <c r="D19" s="8"/>
      <c r="E19" s="9"/>
      <c r="F19" s="10" t="s">
        <v>35</v>
      </c>
      <c r="G19" s="11"/>
      <c r="H19" s="11"/>
      <c r="I19" s="12"/>
      <c r="J19" s="27"/>
      <c r="K19" s="29"/>
      <c r="L19" s="12">
        <v>63.1</v>
      </c>
      <c r="M19" s="12">
        <v>50.1</v>
      </c>
      <c r="N19" s="12">
        <v>45.1</v>
      </c>
      <c r="O19" s="27">
        <f>72.5</f>
        <v>72.5</v>
      </c>
      <c r="P19" s="29">
        <f>50.1</f>
        <v>50.1</v>
      </c>
      <c r="Q19" s="43"/>
    </row>
    <row r="20" spans="1:17" ht="51" customHeight="1" x14ac:dyDescent="0.15">
      <c r="A20" s="13">
        <f>A19+1</f>
        <v>15</v>
      </c>
      <c r="B20" s="8" t="s">
        <v>253</v>
      </c>
      <c r="C20" s="9" t="s">
        <v>254</v>
      </c>
      <c r="D20" s="8"/>
      <c r="E20" s="9"/>
      <c r="F20" s="10" t="s">
        <v>206</v>
      </c>
      <c r="G20" s="11"/>
      <c r="H20" s="11"/>
      <c r="I20" s="12"/>
      <c r="J20" s="27"/>
      <c r="K20" s="29"/>
      <c r="L20" s="12"/>
      <c r="M20" s="12"/>
      <c r="N20" s="12"/>
      <c r="O20" s="27">
        <v>53.1</v>
      </c>
      <c r="P20" s="29">
        <v>45</v>
      </c>
      <c r="Q20" s="44"/>
    </row>
    <row r="21" spans="1:17" ht="43.5" customHeight="1" x14ac:dyDescent="0.15">
      <c r="A21" s="13">
        <f t="shared" ref="A21:A37" si="1">ROW()-5</f>
        <v>16</v>
      </c>
      <c r="B21" s="8" t="s">
        <v>41</v>
      </c>
      <c r="C21" s="9" t="s">
        <v>42</v>
      </c>
      <c r="D21" s="8"/>
      <c r="E21" s="9"/>
      <c r="F21" s="10" t="s">
        <v>43</v>
      </c>
      <c r="G21" s="11">
        <v>1754.9</v>
      </c>
      <c r="H21" s="11"/>
      <c r="I21" s="12"/>
      <c r="J21" s="27">
        <f>1428.3+59.4+10.9+0+0+2.6</f>
        <v>1501.2</v>
      </c>
      <c r="K21" s="29">
        <f>1400+50+10+0.5+1+2.5</f>
        <v>1464</v>
      </c>
      <c r="L21" s="12"/>
      <c r="M21" s="12"/>
      <c r="N21" s="12"/>
      <c r="O21" s="27"/>
      <c r="P21" s="29"/>
      <c r="Q21" s="43"/>
    </row>
    <row r="22" spans="1:17" ht="43.5" customHeight="1" x14ac:dyDescent="0.15">
      <c r="A22" s="13">
        <f t="shared" si="1"/>
        <v>17</v>
      </c>
      <c r="B22" s="8" t="s">
        <v>44</v>
      </c>
      <c r="C22" s="9" t="s">
        <v>45</v>
      </c>
      <c r="D22" s="8" t="s">
        <v>46</v>
      </c>
      <c r="E22" s="9" t="s">
        <v>47</v>
      </c>
      <c r="F22" s="10" t="s">
        <v>48</v>
      </c>
      <c r="G22" s="11">
        <v>3155.59</v>
      </c>
      <c r="H22" s="11">
        <v>2220.73</v>
      </c>
      <c r="I22" s="12">
        <f>40+5+15+1000+400+5</f>
        <v>1465</v>
      </c>
      <c r="J22" s="27">
        <f>77+5.5+10.05+1635+1050.8+0</f>
        <v>2778.35</v>
      </c>
      <c r="K22" s="29">
        <f>60+4+8+1300+800+0</f>
        <v>2172</v>
      </c>
      <c r="L22" s="12"/>
      <c r="M22" s="12"/>
      <c r="N22" s="12"/>
      <c r="O22" s="27"/>
      <c r="P22" s="29"/>
      <c r="Q22" s="43"/>
    </row>
    <row r="23" spans="1:17" ht="43.5" customHeight="1" x14ac:dyDescent="0.15">
      <c r="A23" s="13">
        <f t="shared" si="1"/>
        <v>18</v>
      </c>
      <c r="B23" s="8" t="s">
        <v>49</v>
      </c>
      <c r="C23" s="9" t="s">
        <v>50</v>
      </c>
      <c r="D23" s="8" t="s">
        <v>51</v>
      </c>
      <c r="E23" s="9" t="s">
        <v>52</v>
      </c>
      <c r="F23" s="10" t="s">
        <v>53</v>
      </c>
      <c r="G23" s="11">
        <v>5459.8</v>
      </c>
      <c r="H23" s="11">
        <v>5400.2000000000007</v>
      </c>
      <c r="I23" s="12">
        <f>5300+10+0.2+15+2+5+0.1+0.1</f>
        <v>5332.4000000000005</v>
      </c>
      <c r="J23" s="27">
        <f>5376.9+28.2+0.2+31.1+6.9+4.1+0+0</f>
        <v>5447.4</v>
      </c>
      <c r="K23" s="29">
        <f>5300+25+0.2+25+2+4+0.5+0.2</f>
        <v>5356.9</v>
      </c>
      <c r="L23" s="12">
        <v>999.6</v>
      </c>
      <c r="M23" s="12">
        <v>930.3</v>
      </c>
      <c r="N23" s="12">
        <f>850+40+2</f>
        <v>892</v>
      </c>
      <c r="O23" s="27">
        <f>900.3+23.4+2.2</f>
        <v>925.9</v>
      </c>
      <c r="P23" s="29">
        <f>850+20+2</f>
        <v>872</v>
      </c>
      <c r="Q23" s="43"/>
    </row>
    <row r="24" spans="1:17" ht="43.5" customHeight="1" x14ac:dyDescent="0.15">
      <c r="A24" s="13">
        <f t="shared" si="1"/>
        <v>19</v>
      </c>
      <c r="B24" s="8" t="s">
        <v>54</v>
      </c>
      <c r="C24" s="9" t="s">
        <v>55</v>
      </c>
      <c r="D24" s="8"/>
      <c r="E24" s="9"/>
      <c r="F24" s="10" t="s">
        <v>56</v>
      </c>
      <c r="G24" s="11"/>
      <c r="H24" s="11"/>
      <c r="I24" s="12"/>
      <c r="J24" s="27"/>
      <c r="K24" s="29"/>
      <c r="L24" s="12">
        <v>161.9</v>
      </c>
      <c r="M24" s="12">
        <v>388.59999999999997</v>
      </c>
      <c r="N24" s="12">
        <v>90</v>
      </c>
      <c r="O24" s="27">
        <f>99.8+12.4</f>
        <v>112.2</v>
      </c>
      <c r="P24" s="29">
        <f>98.8+12.3</f>
        <v>111.1</v>
      </c>
      <c r="Q24" s="43"/>
    </row>
    <row r="25" spans="1:17" ht="55.5" customHeight="1" x14ac:dyDescent="0.15">
      <c r="A25" s="72">
        <f t="shared" si="1"/>
        <v>20</v>
      </c>
      <c r="B25" s="73" t="s">
        <v>300</v>
      </c>
      <c r="C25" s="74" t="s">
        <v>57</v>
      </c>
      <c r="D25" s="8" t="s">
        <v>294</v>
      </c>
      <c r="E25" s="9"/>
      <c r="F25" s="10" t="s">
        <v>56</v>
      </c>
      <c r="G25" s="11">
        <v>100304.4</v>
      </c>
      <c r="H25" s="11">
        <v>102302.8</v>
      </c>
      <c r="I25" s="12">
        <v>101130</v>
      </c>
      <c r="J25" s="27">
        <f>73671.9+298+51.6+382.5+2611.5+39.4+0+1082.9+0+0</f>
        <v>78137.799999999988</v>
      </c>
      <c r="K25" s="29">
        <f>72900+295+51+378+2580+39+0+1000+0+0</f>
        <v>77243</v>
      </c>
      <c r="L25" s="12"/>
      <c r="M25" s="12"/>
      <c r="N25" s="12"/>
      <c r="O25" s="27"/>
      <c r="P25" s="29"/>
      <c r="Q25" s="43"/>
    </row>
    <row r="26" spans="1:17" ht="43.5" customHeight="1" x14ac:dyDescent="0.15">
      <c r="A26" s="13">
        <f t="shared" si="1"/>
        <v>21</v>
      </c>
      <c r="B26" s="8" t="s">
        <v>58</v>
      </c>
      <c r="C26" s="9" t="s">
        <v>59</v>
      </c>
      <c r="D26" s="8"/>
      <c r="E26" s="9"/>
      <c r="F26" s="10" t="s">
        <v>60</v>
      </c>
      <c r="G26" s="11">
        <v>1656.83</v>
      </c>
      <c r="H26" s="11">
        <v>1927.5</v>
      </c>
      <c r="I26" s="12">
        <v>1907.5</v>
      </c>
      <c r="J26" s="27">
        <f>284+4+103+663+481+8+57+1+0.1</f>
        <v>1601.1</v>
      </c>
      <c r="K26" s="29">
        <f>280+4+103+655+480+8+55+1+0.1</f>
        <v>1586.1</v>
      </c>
      <c r="L26" s="12"/>
      <c r="M26" s="12"/>
      <c r="N26" s="12"/>
      <c r="O26" s="27"/>
      <c r="P26" s="29"/>
      <c r="Q26" s="43"/>
    </row>
    <row r="27" spans="1:17" ht="43.5" customHeight="1" x14ac:dyDescent="0.15">
      <c r="A27" s="13">
        <f t="shared" si="1"/>
        <v>22</v>
      </c>
      <c r="B27" s="8" t="s">
        <v>61</v>
      </c>
      <c r="C27" s="9" t="s">
        <v>62</v>
      </c>
      <c r="D27" s="8" t="s">
        <v>63</v>
      </c>
      <c r="E27" s="9" t="s">
        <v>64</v>
      </c>
      <c r="F27" s="10" t="s">
        <v>65</v>
      </c>
      <c r="G27" s="11">
        <v>51617</v>
      </c>
      <c r="H27" s="11">
        <v>57029</v>
      </c>
      <c r="I27" s="12">
        <v>57609</v>
      </c>
      <c r="J27" s="27">
        <v>59097</v>
      </c>
      <c r="K27" s="29">
        <v>59704</v>
      </c>
      <c r="L27" s="12"/>
      <c r="M27" s="12"/>
      <c r="N27" s="12"/>
      <c r="O27" s="27"/>
      <c r="P27" s="29"/>
      <c r="Q27" s="43"/>
    </row>
    <row r="28" spans="1:17" ht="43.5" customHeight="1" x14ac:dyDescent="0.15">
      <c r="A28" s="13">
        <f t="shared" si="1"/>
        <v>23</v>
      </c>
      <c r="B28" s="8" t="s">
        <v>61</v>
      </c>
      <c r="C28" s="9" t="s">
        <v>62</v>
      </c>
      <c r="D28" s="8" t="s">
        <v>66</v>
      </c>
      <c r="E28" s="9" t="s">
        <v>67</v>
      </c>
      <c r="F28" s="10" t="s">
        <v>65</v>
      </c>
      <c r="G28" s="11">
        <v>19628</v>
      </c>
      <c r="H28" s="11">
        <v>19040</v>
      </c>
      <c r="I28" s="12">
        <f>19071</f>
        <v>19071</v>
      </c>
      <c r="J28" s="27">
        <v>18753</v>
      </c>
      <c r="K28" s="29">
        <v>18786</v>
      </c>
      <c r="L28" s="12"/>
      <c r="M28" s="12"/>
      <c r="N28" s="12"/>
      <c r="O28" s="27"/>
      <c r="P28" s="29"/>
      <c r="Q28" s="43"/>
    </row>
    <row r="29" spans="1:17" ht="43.5" customHeight="1" x14ac:dyDescent="0.15">
      <c r="A29" s="13">
        <f t="shared" si="1"/>
        <v>24</v>
      </c>
      <c r="B29" s="8" t="s">
        <v>266</v>
      </c>
      <c r="C29" s="9" t="s">
        <v>267</v>
      </c>
      <c r="D29" s="8" t="s">
        <v>268</v>
      </c>
      <c r="E29" s="9" t="s">
        <v>269</v>
      </c>
      <c r="F29" s="10" t="s">
        <v>270</v>
      </c>
      <c r="G29" s="11">
        <v>1005</v>
      </c>
      <c r="H29" s="11">
        <v>1021.3</v>
      </c>
      <c r="I29" s="12">
        <f>800+20+100</f>
        <v>920</v>
      </c>
      <c r="J29" s="27">
        <f>1576+5+12+31+0</f>
        <v>1624</v>
      </c>
      <c r="K29" s="29">
        <f>1300+0+10+20+0</f>
        <v>1330</v>
      </c>
      <c r="L29" s="12"/>
      <c r="M29" s="12"/>
      <c r="N29" s="12"/>
      <c r="O29" s="27"/>
      <c r="P29" s="29"/>
      <c r="Q29" s="43"/>
    </row>
    <row r="30" spans="1:17" ht="43.5" customHeight="1" x14ac:dyDescent="0.15">
      <c r="A30" s="13">
        <f t="shared" si="1"/>
        <v>25</v>
      </c>
      <c r="B30" s="8" t="s">
        <v>68</v>
      </c>
      <c r="C30" s="9" t="s">
        <v>69</v>
      </c>
      <c r="D30" s="8"/>
      <c r="E30" s="9"/>
      <c r="F30" s="10" t="s">
        <v>70</v>
      </c>
      <c r="G30" s="11"/>
      <c r="H30" s="11"/>
      <c r="I30" s="12"/>
      <c r="J30" s="27"/>
      <c r="K30" s="29"/>
      <c r="L30" s="12">
        <v>130.83099999999999</v>
      </c>
      <c r="M30" s="12">
        <v>128.97399999999999</v>
      </c>
      <c r="N30" s="12">
        <v>125</v>
      </c>
      <c r="O30" s="27">
        <f>146.82+0.0006</f>
        <v>146.82059999999998</v>
      </c>
      <c r="P30" s="29">
        <f>144+0.005</f>
        <v>144.005</v>
      </c>
      <c r="Q30" s="43"/>
    </row>
    <row r="31" spans="1:17" ht="43.5" customHeight="1" x14ac:dyDescent="0.15">
      <c r="A31" s="13">
        <f t="shared" si="1"/>
        <v>26</v>
      </c>
      <c r="B31" s="8" t="s">
        <v>71</v>
      </c>
      <c r="C31" s="9" t="s">
        <v>72</v>
      </c>
      <c r="D31" s="8"/>
      <c r="E31" s="9"/>
      <c r="F31" s="10" t="s">
        <v>21</v>
      </c>
      <c r="G31" s="11">
        <v>8776.23</v>
      </c>
      <c r="H31" s="11">
        <f>371.64+26701.25+160.502+9.62+1.03+50.43</f>
        <v>27294.471999999998</v>
      </c>
      <c r="I31" s="12">
        <f>370+26000+150+9+1+40</f>
        <v>26570</v>
      </c>
      <c r="J31" s="77">
        <f>1004.21+19740.99+295.24+42.514+231.93+6.71</f>
        <v>21321.594000000001</v>
      </c>
      <c r="K31" s="78">
        <f>1000+18000+280+40+210+5</f>
        <v>19535</v>
      </c>
      <c r="L31" s="12"/>
      <c r="M31" s="12"/>
      <c r="N31" s="12"/>
      <c r="O31" s="27"/>
      <c r="P31" s="29"/>
      <c r="Q31" s="43"/>
    </row>
    <row r="32" spans="1:17" ht="43.5" customHeight="1" x14ac:dyDescent="0.15">
      <c r="A32" s="13">
        <f t="shared" si="1"/>
        <v>27</v>
      </c>
      <c r="B32" s="30" t="s">
        <v>301</v>
      </c>
      <c r="C32" s="31" t="s">
        <v>73</v>
      </c>
      <c r="D32" s="30"/>
      <c r="E32" s="31"/>
      <c r="F32" s="32" t="s">
        <v>48</v>
      </c>
      <c r="G32" s="33">
        <v>1248.92</v>
      </c>
      <c r="H32" s="33">
        <v>1143.45</v>
      </c>
      <c r="I32" s="34">
        <v>999</v>
      </c>
      <c r="J32" s="27">
        <f>806.37+4.36+13.03</f>
        <v>823.76</v>
      </c>
      <c r="K32" s="29"/>
      <c r="L32" s="12"/>
      <c r="M32" s="12"/>
      <c r="N32" s="12"/>
      <c r="O32" s="27"/>
      <c r="P32" s="29"/>
      <c r="Q32" s="43"/>
    </row>
    <row r="33" spans="1:17" ht="43.5" customHeight="1" x14ac:dyDescent="0.15">
      <c r="A33" s="13">
        <f t="shared" si="1"/>
        <v>28</v>
      </c>
      <c r="B33" s="8" t="s">
        <v>302</v>
      </c>
      <c r="C33" s="9" t="s">
        <v>74</v>
      </c>
      <c r="D33" s="8"/>
      <c r="E33" s="9"/>
      <c r="F33" s="10" t="s">
        <v>75</v>
      </c>
      <c r="G33" s="11">
        <v>1156</v>
      </c>
      <c r="H33" s="11">
        <v>1328</v>
      </c>
      <c r="I33" s="12">
        <f>1100+20+14+80+60+38</f>
        <v>1312</v>
      </c>
      <c r="J33" s="27">
        <f>968+29+8+83+71+42+0</f>
        <v>1201</v>
      </c>
      <c r="K33" s="29">
        <f>960+28+8+82+70+40+0</f>
        <v>1188</v>
      </c>
      <c r="L33" s="12"/>
      <c r="M33" s="12"/>
      <c r="N33" s="12"/>
      <c r="O33" s="27"/>
      <c r="P33" s="29"/>
      <c r="Q33" s="43"/>
    </row>
    <row r="34" spans="1:17" ht="43.5" customHeight="1" x14ac:dyDescent="0.15">
      <c r="A34" s="13">
        <f t="shared" si="1"/>
        <v>29</v>
      </c>
      <c r="B34" s="8" t="s">
        <v>76</v>
      </c>
      <c r="C34" s="9" t="s">
        <v>77</v>
      </c>
      <c r="D34" s="8"/>
      <c r="E34" s="9"/>
      <c r="F34" s="10" t="s">
        <v>78</v>
      </c>
      <c r="G34" s="11">
        <v>1490.7149999999999</v>
      </c>
      <c r="H34" s="11">
        <v>1042.454</v>
      </c>
      <c r="I34" s="12">
        <f>588.07+416.721+23.166+1.911+1.802+0.271+0.089</f>
        <v>1032.03</v>
      </c>
      <c r="J34" s="27">
        <f>718.29+604.63+23.79+13.14+1.78+0.01</f>
        <v>1361.64</v>
      </c>
      <c r="K34" s="29">
        <f>711.107+598.584+23.552+13.009+1.762+0.01</f>
        <v>1348.0239999999997</v>
      </c>
      <c r="L34" s="12"/>
      <c r="M34" s="12"/>
      <c r="N34" s="12"/>
      <c r="O34" s="27"/>
      <c r="P34" s="29"/>
      <c r="Q34" s="43"/>
    </row>
    <row r="35" spans="1:17" ht="43.5" customHeight="1" x14ac:dyDescent="0.15">
      <c r="A35" s="13">
        <f t="shared" si="1"/>
        <v>30</v>
      </c>
      <c r="B35" s="8" t="s">
        <v>303</v>
      </c>
      <c r="C35" s="9" t="s">
        <v>79</v>
      </c>
      <c r="D35" s="8"/>
      <c r="E35" s="9"/>
      <c r="F35" s="10" t="s">
        <v>78</v>
      </c>
      <c r="G35" s="11"/>
      <c r="H35" s="11"/>
      <c r="I35" s="12"/>
      <c r="J35" s="27"/>
      <c r="K35" s="29"/>
      <c r="L35" s="12">
        <v>55.5</v>
      </c>
      <c r="M35" s="12">
        <v>55</v>
      </c>
      <c r="N35" s="12">
        <v>50</v>
      </c>
      <c r="O35" s="27">
        <f>38.2</f>
        <v>38.200000000000003</v>
      </c>
      <c r="P35" s="29"/>
      <c r="Q35" s="43"/>
    </row>
    <row r="36" spans="1:17" ht="53.25" customHeight="1" x14ac:dyDescent="0.15">
      <c r="A36" s="13">
        <f t="shared" si="1"/>
        <v>31</v>
      </c>
      <c r="B36" s="8" t="s">
        <v>304</v>
      </c>
      <c r="C36" s="9" t="s">
        <v>80</v>
      </c>
      <c r="D36" s="8"/>
      <c r="E36" s="9"/>
      <c r="F36" s="10" t="s">
        <v>189</v>
      </c>
      <c r="G36" s="11">
        <v>2521.8449999999998</v>
      </c>
      <c r="H36" s="11">
        <v>2675.98</v>
      </c>
      <c r="I36" s="12">
        <f>860+1770+60+1</f>
        <v>2691</v>
      </c>
      <c r="J36" s="27">
        <f>821.23+1597.12+54.19+0.64</f>
        <v>2473.1799999999998</v>
      </c>
      <c r="K36" s="29">
        <f>830+1650+60+1</f>
        <v>2541</v>
      </c>
      <c r="L36" s="12"/>
      <c r="M36" s="12"/>
      <c r="N36" s="12"/>
      <c r="O36" s="27"/>
      <c r="P36" s="29"/>
      <c r="Q36" s="43"/>
    </row>
    <row r="37" spans="1:17" ht="43.5" customHeight="1" x14ac:dyDescent="0.15">
      <c r="A37" s="13">
        <f t="shared" si="1"/>
        <v>32</v>
      </c>
      <c r="B37" s="8" t="s">
        <v>329</v>
      </c>
      <c r="C37" s="9" t="s">
        <v>81</v>
      </c>
      <c r="D37" s="8"/>
      <c r="E37" s="9"/>
      <c r="F37" s="10" t="s">
        <v>190</v>
      </c>
      <c r="G37" s="11">
        <v>33379.339999999997</v>
      </c>
      <c r="H37" s="11">
        <v>32924.519999999997</v>
      </c>
      <c r="I37" s="12">
        <f>32403.53+6.44+81.84+3.11+91.66+8.7</f>
        <v>32595.279999999999</v>
      </c>
      <c r="J37" s="27">
        <f>31712.94+12.9+98.8+3.09+80.52+12.66</f>
        <v>31920.91</v>
      </c>
      <c r="K37" s="29">
        <f>31395.81+12.77+97.81+3.06+79.72+12.53</f>
        <v>31601.700000000004</v>
      </c>
      <c r="L37" s="12"/>
      <c r="M37" s="12"/>
      <c r="N37" s="12"/>
      <c r="O37" s="27"/>
      <c r="P37" s="29"/>
      <c r="Q37" s="43"/>
    </row>
    <row r="38" spans="1:17" ht="43.5" customHeight="1" x14ac:dyDescent="0.15">
      <c r="A38" s="13">
        <f>A37+1</f>
        <v>33</v>
      </c>
      <c r="B38" s="8" t="s">
        <v>249</v>
      </c>
      <c r="C38" s="9" t="s">
        <v>250</v>
      </c>
      <c r="D38" s="8" t="s">
        <v>249</v>
      </c>
      <c r="E38" s="9" t="s">
        <v>251</v>
      </c>
      <c r="F38" s="10" t="s">
        <v>222</v>
      </c>
      <c r="G38" s="11"/>
      <c r="H38" s="11"/>
      <c r="I38" s="12" t="s">
        <v>252</v>
      </c>
      <c r="J38" s="27">
        <f>2313+310</f>
        <v>2623</v>
      </c>
      <c r="K38" s="29">
        <f>6627+640</f>
        <v>7267</v>
      </c>
      <c r="L38" s="12"/>
      <c r="M38" s="12"/>
      <c r="N38" s="12"/>
      <c r="O38" s="27"/>
      <c r="P38" s="29"/>
      <c r="Q38" s="44"/>
    </row>
    <row r="39" spans="1:17" ht="57.75" customHeight="1" x14ac:dyDescent="0.15">
      <c r="A39" s="13">
        <f>ROW()-5</f>
        <v>34</v>
      </c>
      <c r="B39" s="8" t="s">
        <v>191</v>
      </c>
      <c r="C39" s="9" t="s">
        <v>192</v>
      </c>
      <c r="D39" s="8" t="s">
        <v>84</v>
      </c>
      <c r="E39" s="9" t="s">
        <v>193</v>
      </c>
      <c r="F39" s="10" t="s">
        <v>194</v>
      </c>
      <c r="G39" s="11">
        <v>1607.92</v>
      </c>
      <c r="H39" s="11">
        <v>1708.4970000000001</v>
      </c>
      <c r="I39" s="12">
        <v>1568</v>
      </c>
      <c r="J39" s="27">
        <f>1796.16+0.77</f>
        <v>1796.93</v>
      </c>
      <c r="K39" s="29">
        <f>1650+0</f>
        <v>1650</v>
      </c>
      <c r="L39" s="12"/>
      <c r="M39" s="12"/>
      <c r="N39" s="12"/>
      <c r="O39" s="27"/>
      <c r="P39" s="29"/>
      <c r="Q39" s="43"/>
    </row>
    <row r="40" spans="1:17" ht="57.75" customHeight="1" x14ac:dyDescent="0.15">
      <c r="A40" s="13">
        <f>A39+1</f>
        <v>35</v>
      </c>
      <c r="B40" s="8" t="s">
        <v>305</v>
      </c>
      <c r="C40" s="9" t="s">
        <v>238</v>
      </c>
      <c r="D40" s="8" t="s">
        <v>239</v>
      </c>
      <c r="E40" s="9" t="s">
        <v>240</v>
      </c>
      <c r="F40" s="10" t="s">
        <v>241</v>
      </c>
      <c r="G40" s="11"/>
      <c r="H40" s="11"/>
      <c r="I40" s="12"/>
      <c r="J40" s="27">
        <f>4760.18+3.95+61.26+6.27+22.56+19.03+0.13</f>
        <v>4873.380000000001</v>
      </c>
      <c r="K40" s="29">
        <f>4600+3+55+5+20+15+0.1</f>
        <v>4698.1000000000004</v>
      </c>
      <c r="L40" s="12"/>
      <c r="M40" s="12"/>
      <c r="N40" s="12"/>
      <c r="O40" s="27"/>
      <c r="P40" s="29"/>
      <c r="Q40" s="43"/>
    </row>
    <row r="41" spans="1:17" ht="43.5" customHeight="1" x14ac:dyDescent="0.15">
      <c r="A41" s="13">
        <f t="shared" ref="A41:A53" si="2">ROW()-5</f>
        <v>36</v>
      </c>
      <c r="B41" s="8" t="s">
        <v>85</v>
      </c>
      <c r="C41" s="9" t="s">
        <v>195</v>
      </c>
      <c r="D41" s="8"/>
      <c r="E41" s="9"/>
      <c r="F41" s="10" t="s">
        <v>86</v>
      </c>
      <c r="G41" s="11">
        <v>18208.099999999999</v>
      </c>
      <c r="H41" s="11">
        <v>13805.5</v>
      </c>
      <c r="I41" s="12">
        <f>10.9+13308.4+190.1+157.1</f>
        <v>13666.5</v>
      </c>
      <c r="J41" s="27">
        <f>13.7+14187.2+0+189.5+168.4+0</f>
        <v>14558.800000000001</v>
      </c>
      <c r="K41" s="29">
        <f>13.6+14044.3+0+187.6+166.7+0</f>
        <v>14412.2</v>
      </c>
      <c r="L41" s="12"/>
      <c r="M41" s="12"/>
      <c r="N41" s="12"/>
      <c r="O41" s="27"/>
      <c r="P41" s="29"/>
      <c r="Q41" s="43"/>
    </row>
    <row r="42" spans="1:17" ht="43.5" customHeight="1" x14ac:dyDescent="0.15">
      <c r="A42" s="13">
        <f t="shared" si="2"/>
        <v>37</v>
      </c>
      <c r="B42" s="8" t="s">
        <v>87</v>
      </c>
      <c r="C42" s="9" t="s">
        <v>88</v>
      </c>
      <c r="D42" s="8"/>
      <c r="E42" s="9"/>
      <c r="F42" s="10" t="s">
        <v>189</v>
      </c>
      <c r="G42" s="11">
        <v>39718</v>
      </c>
      <c r="H42" s="11">
        <v>39113</v>
      </c>
      <c r="I42" s="12">
        <f>33324+139+20+689+1+1042+1+1</f>
        <v>35217</v>
      </c>
      <c r="J42" s="27">
        <f>36098+101+29+608+1+989+0+0</f>
        <v>37826</v>
      </c>
      <c r="K42" s="29">
        <f>33324+100+20+577+1+939+1+1</f>
        <v>34963</v>
      </c>
      <c r="L42" s="12"/>
      <c r="M42" s="12"/>
      <c r="N42" s="12"/>
      <c r="O42" s="27"/>
      <c r="P42" s="29"/>
      <c r="Q42" s="43"/>
    </row>
    <row r="43" spans="1:17" ht="43.5" customHeight="1" x14ac:dyDescent="0.15">
      <c r="A43" s="13">
        <f t="shared" si="2"/>
        <v>38</v>
      </c>
      <c r="B43" s="8" t="s">
        <v>306</v>
      </c>
      <c r="C43" s="9" t="s">
        <v>89</v>
      </c>
      <c r="D43" s="8"/>
      <c r="E43" s="9"/>
      <c r="F43" s="10" t="s">
        <v>23</v>
      </c>
      <c r="G43" s="11">
        <v>2078.17</v>
      </c>
      <c r="H43" s="11">
        <v>1793.6000000000001</v>
      </c>
      <c r="I43" s="12">
        <v>1711.7</v>
      </c>
      <c r="J43" s="27">
        <f>1453.95+0.26+94.65+241.28+21.35+0.06</f>
        <v>1811.55</v>
      </c>
      <c r="K43" s="29">
        <f>1400+0.5+90+230+20+0.5</f>
        <v>1741</v>
      </c>
      <c r="L43" s="12"/>
      <c r="M43" s="12"/>
      <c r="N43" s="12"/>
      <c r="O43" s="27"/>
      <c r="P43" s="29"/>
      <c r="Q43" s="43"/>
    </row>
    <row r="44" spans="1:17" ht="43.5" customHeight="1" x14ac:dyDescent="0.15">
      <c r="A44" s="13">
        <f t="shared" si="2"/>
        <v>39</v>
      </c>
      <c r="B44" s="8" t="s">
        <v>90</v>
      </c>
      <c r="C44" s="9" t="s">
        <v>91</v>
      </c>
      <c r="D44" s="8"/>
      <c r="E44" s="9"/>
      <c r="F44" s="10" t="s">
        <v>196</v>
      </c>
      <c r="G44" s="11">
        <v>41120</v>
      </c>
      <c r="H44" s="11">
        <v>33789</v>
      </c>
      <c r="I44" s="12">
        <f>7530+19130+5430</f>
        <v>32090</v>
      </c>
      <c r="J44" s="27">
        <f>8492+21292+6140</f>
        <v>35924</v>
      </c>
      <c r="K44" s="29">
        <f>8070+20230+5830</f>
        <v>34130</v>
      </c>
      <c r="L44" s="12"/>
      <c r="M44" s="12"/>
      <c r="N44" s="12"/>
      <c r="O44" s="27"/>
      <c r="P44" s="29"/>
      <c r="Q44" s="43"/>
    </row>
    <row r="45" spans="1:17" ht="43.5" customHeight="1" x14ac:dyDescent="0.15">
      <c r="A45" s="13">
        <f t="shared" si="2"/>
        <v>40</v>
      </c>
      <c r="B45" s="8" t="s">
        <v>92</v>
      </c>
      <c r="C45" s="9" t="s">
        <v>93</v>
      </c>
      <c r="D45" s="8"/>
      <c r="E45" s="9"/>
      <c r="F45" s="10" t="s">
        <v>197</v>
      </c>
      <c r="G45" s="11"/>
      <c r="H45" s="11"/>
      <c r="I45" s="12"/>
      <c r="J45" s="27"/>
      <c r="K45" s="29"/>
      <c r="L45" s="12">
        <v>58</v>
      </c>
      <c r="M45" s="12">
        <v>54</v>
      </c>
      <c r="N45" s="12">
        <v>70</v>
      </c>
      <c r="O45" s="27">
        <f>62</f>
        <v>62</v>
      </c>
      <c r="P45" s="29">
        <f>70</f>
        <v>70</v>
      </c>
      <c r="Q45" s="43"/>
    </row>
    <row r="46" spans="1:17" ht="43.5" customHeight="1" x14ac:dyDescent="0.15">
      <c r="A46" s="13">
        <f t="shared" si="2"/>
        <v>41</v>
      </c>
      <c r="B46" s="8" t="s">
        <v>331</v>
      </c>
      <c r="C46" s="9" t="s">
        <v>94</v>
      </c>
      <c r="D46" s="8"/>
      <c r="E46" s="9"/>
      <c r="F46" s="10" t="s">
        <v>198</v>
      </c>
      <c r="G46" s="11">
        <v>2041.24</v>
      </c>
      <c r="H46" s="11"/>
      <c r="I46" s="12">
        <v>3193</v>
      </c>
      <c r="J46" s="27">
        <f>3137.02+125.76+9.6+89.25+43.7+2.32+0+0+0</f>
        <v>3407.65</v>
      </c>
      <c r="K46" s="29">
        <f>3000+123+9+80+41+1+0+0+0</f>
        <v>3254</v>
      </c>
      <c r="L46" s="12"/>
      <c r="M46" s="12"/>
      <c r="N46" s="12"/>
      <c r="O46" s="27"/>
      <c r="P46" s="29"/>
      <c r="Q46" s="43"/>
    </row>
    <row r="47" spans="1:17" ht="43.5" customHeight="1" x14ac:dyDescent="0.15">
      <c r="A47" s="13">
        <f t="shared" si="2"/>
        <v>42</v>
      </c>
      <c r="B47" s="8" t="s">
        <v>95</v>
      </c>
      <c r="C47" s="9" t="s">
        <v>96</v>
      </c>
      <c r="D47" s="8"/>
      <c r="E47" s="9"/>
      <c r="F47" s="10" t="s">
        <v>198</v>
      </c>
      <c r="G47" s="11">
        <v>3046.65</v>
      </c>
      <c r="H47" s="11">
        <v>2023.33</v>
      </c>
      <c r="I47" s="12">
        <f>2000</f>
        <v>2000</v>
      </c>
      <c r="J47" s="27">
        <f>2010</f>
        <v>2010</v>
      </c>
      <c r="K47" s="29">
        <v>2000</v>
      </c>
      <c r="L47" s="12"/>
      <c r="M47" s="12"/>
      <c r="N47" s="12"/>
      <c r="O47" s="27"/>
      <c r="P47" s="29"/>
      <c r="Q47" s="43"/>
    </row>
    <row r="48" spans="1:17" ht="43.5" customHeight="1" x14ac:dyDescent="0.15">
      <c r="A48" s="13">
        <f t="shared" si="2"/>
        <v>43</v>
      </c>
      <c r="B48" s="8" t="s">
        <v>97</v>
      </c>
      <c r="C48" s="9" t="s">
        <v>98</v>
      </c>
      <c r="D48" s="8"/>
      <c r="E48" s="9"/>
      <c r="F48" s="10" t="s">
        <v>198</v>
      </c>
      <c r="G48" s="11">
        <v>16623</v>
      </c>
      <c r="H48" s="11">
        <v>9809</v>
      </c>
      <c r="I48" s="12">
        <f>9500+120+20+4</f>
        <v>9644</v>
      </c>
      <c r="J48" s="27">
        <f>10840+179+25.4+4.8</f>
        <v>11049.199999999999</v>
      </c>
      <c r="K48" s="29">
        <f>10500+150+20+4</f>
        <v>10674</v>
      </c>
      <c r="L48" s="12"/>
      <c r="M48" s="12"/>
      <c r="N48" s="12"/>
      <c r="O48" s="27"/>
      <c r="P48" s="29"/>
      <c r="Q48" s="43"/>
    </row>
    <row r="49" spans="1:33" ht="43.5" customHeight="1" x14ac:dyDescent="0.15">
      <c r="A49" s="13">
        <f t="shared" si="2"/>
        <v>44</v>
      </c>
      <c r="B49" s="30" t="s">
        <v>99</v>
      </c>
      <c r="C49" s="31" t="s">
        <v>100</v>
      </c>
      <c r="D49" s="30" t="s">
        <v>46</v>
      </c>
      <c r="E49" s="31" t="s">
        <v>101</v>
      </c>
      <c r="F49" s="32" t="s">
        <v>48</v>
      </c>
      <c r="G49" s="33">
        <v>1473</v>
      </c>
      <c r="H49" s="33">
        <v>2147</v>
      </c>
      <c r="I49" s="34">
        <v>1864</v>
      </c>
      <c r="J49" s="27">
        <f>1896+8+1+35+1+1</f>
        <v>1942</v>
      </c>
      <c r="K49" s="29">
        <f>1500+8+1+30+1+1</f>
        <v>1541</v>
      </c>
      <c r="L49" s="12"/>
      <c r="M49" s="12"/>
      <c r="N49" s="12"/>
      <c r="O49" s="27"/>
      <c r="P49" s="29"/>
      <c r="Q49" s="43"/>
    </row>
    <row r="50" spans="1:33" ht="43.5" customHeight="1" x14ac:dyDescent="0.15">
      <c r="A50" s="13">
        <f t="shared" si="2"/>
        <v>45</v>
      </c>
      <c r="B50" s="8" t="s">
        <v>102</v>
      </c>
      <c r="C50" s="9" t="s">
        <v>103</v>
      </c>
      <c r="D50" s="8" t="s">
        <v>46</v>
      </c>
      <c r="E50" s="9" t="s">
        <v>104</v>
      </c>
      <c r="F50" s="10" t="s">
        <v>199</v>
      </c>
      <c r="G50" s="11"/>
      <c r="H50" s="11"/>
      <c r="I50" s="12"/>
      <c r="J50" s="27"/>
      <c r="K50" s="29"/>
      <c r="L50" s="12">
        <v>91</v>
      </c>
      <c r="M50" s="12">
        <v>92</v>
      </c>
      <c r="N50" s="12">
        <v>90</v>
      </c>
      <c r="O50" s="27">
        <v>116</v>
      </c>
      <c r="P50" s="29">
        <v>116</v>
      </c>
      <c r="Q50" s="43"/>
    </row>
    <row r="51" spans="1:33" ht="43.5" customHeight="1" x14ac:dyDescent="0.15">
      <c r="A51" s="13">
        <f t="shared" si="2"/>
        <v>46</v>
      </c>
      <c r="B51" s="8" t="s">
        <v>105</v>
      </c>
      <c r="C51" s="9" t="s">
        <v>106</v>
      </c>
      <c r="D51" s="8" t="s">
        <v>334</v>
      </c>
      <c r="E51" s="9" t="s">
        <v>200</v>
      </c>
      <c r="F51" s="10" t="s">
        <v>201</v>
      </c>
      <c r="G51" s="11">
        <v>3244</v>
      </c>
      <c r="H51" s="11">
        <v>3223</v>
      </c>
      <c r="I51" s="12">
        <v>3371</v>
      </c>
      <c r="J51" s="27">
        <f>3393</f>
        <v>3393</v>
      </c>
      <c r="K51" s="29">
        <f>3371</f>
        <v>3371</v>
      </c>
      <c r="L51" s="12"/>
      <c r="M51" s="12"/>
      <c r="N51" s="12"/>
      <c r="O51" s="27"/>
      <c r="P51" s="29"/>
      <c r="Q51" s="43"/>
    </row>
    <row r="52" spans="1:33" ht="43.5" customHeight="1" x14ac:dyDescent="0.15">
      <c r="A52" s="13">
        <f t="shared" si="2"/>
        <v>47</v>
      </c>
      <c r="B52" s="8" t="s">
        <v>107</v>
      </c>
      <c r="C52" s="9" t="s">
        <v>108</v>
      </c>
      <c r="D52" s="8"/>
      <c r="E52" s="9"/>
      <c r="F52" s="10" t="s">
        <v>194</v>
      </c>
      <c r="G52" s="11">
        <v>16444</v>
      </c>
      <c r="H52" s="11">
        <f>14429</f>
        <v>14429</v>
      </c>
      <c r="I52" s="12">
        <v>13996</v>
      </c>
      <c r="J52" s="27">
        <f>10035</f>
        <v>10035</v>
      </c>
      <c r="K52" s="29">
        <f>9734</f>
        <v>9734</v>
      </c>
      <c r="L52" s="12"/>
      <c r="M52" s="12"/>
      <c r="N52" s="12"/>
      <c r="O52" s="27"/>
      <c r="P52" s="29"/>
      <c r="Q52" s="43"/>
    </row>
    <row r="53" spans="1:33" ht="43.5" customHeight="1" x14ac:dyDescent="0.15">
      <c r="A53" s="13">
        <f t="shared" si="2"/>
        <v>48</v>
      </c>
      <c r="B53" s="8" t="s">
        <v>110</v>
      </c>
      <c r="C53" s="9" t="s">
        <v>111</v>
      </c>
      <c r="D53" s="8"/>
      <c r="E53" s="9"/>
      <c r="F53" s="10" t="s">
        <v>202</v>
      </c>
      <c r="G53" s="11"/>
      <c r="H53" s="11"/>
      <c r="I53" s="12"/>
      <c r="J53" s="27"/>
      <c r="K53" s="29"/>
      <c r="L53" s="12">
        <v>51</v>
      </c>
      <c r="M53" s="12">
        <v>52</v>
      </c>
      <c r="N53" s="12">
        <v>50</v>
      </c>
      <c r="O53" s="27">
        <v>50.811999999999998</v>
      </c>
      <c r="P53" s="29">
        <v>48.271000000000001</v>
      </c>
      <c r="Q53" s="43"/>
    </row>
    <row r="54" spans="1:33" ht="43.5" customHeight="1" x14ac:dyDescent="0.15">
      <c r="A54" s="13">
        <f>A53+1</f>
        <v>49</v>
      </c>
      <c r="B54" s="8" t="s">
        <v>260</v>
      </c>
      <c r="C54" s="9" t="s">
        <v>261</v>
      </c>
      <c r="D54" s="8"/>
      <c r="E54" s="9"/>
      <c r="F54" s="10" t="s">
        <v>241</v>
      </c>
      <c r="G54" s="11"/>
      <c r="H54" s="11"/>
      <c r="I54" s="12"/>
      <c r="J54" s="27">
        <f>1001.16+145.5+195.34+1.04</f>
        <v>1343.0399999999997</v>
      </c>
      <c r="K54" s="79">
        <f>950+1000+193+1</f>
        <v>2144</v>
      </c>
      <c r="L54" s="12"/>
      <c r="M54" s="12"/>
      <c r="N54" s="12"/>
      <c r="O54" s="27"/>
      <c r="P54" s="29"/>
      <c r="Q54" s="44"/>
      <c r="S54" s="68"/>
      <c r="T54" s="68"/>
      <c r="U54" s="68"/>
      <c r="V54" s="68"/>
      <c r="W54" s="68"/>
      <c r="X54" s="68"/>
      <c r="Y54" s="68"/>
      <c r="Z54" s="69"/>
      <c r="AA54" s="69"/>
      <c r="AB54" s="69"/>
      <c r="AC54" s="69"/>
      <c r="AD54" s="22"/>
      <c r="AE54" s="22"/>
      <c r="AF54" s="22"/>
      <c r="AG54" s="22"/>
    </row>
    <row r="55" spans="1:33" ht="43.5" customHeight="1" x14ac:dyDescent="0.15">
      <c r="A55" s="13">
        <f t="shared" ref="A55:A66" si="3">ROW()-5</f>
        <v>50</v>
      </c>
      <c r="B55" s="8" t="s">
        <v>203</v>
      </c>
      <c r="C55" s="9" t="s">
        <v>204</v>
      </c>
      <c r="D55" s="8"/>
      <c r="E55" s="9"/>
      <c r="F55" s="10" t="s">
        <v>189</v>
      </c>
      <c r="G55" s="11">
        <v>50583</v>
      </c>
      <c r="H55" s="11">
        <v>55471</v>
      </c>
      <c r="I55" s="12">
        <v>53807</v>
      </c>
      <c r="J55" s="27">
        <f>36342+824.1+663.68+1.13+1.17+0.52+1.2+0.048+0.87</f>
        <v>37834.717999999993</v>
      </c>
      <c r="K55" s="29">
        <f>40000+900+600+1+0.3+0.3+1+0.02+0.7</f>
        <v>41503.32</v>
      </c>
      <c r="L55" s="12"/>
      <c r="M55" s="12"/>
      <c r="N55" s="12"/>
      <c r="O55" s="27"/>
      <c r="P55" s="29"/>
      <c r="Q55" s="43"/>
      <c r="S55" s="70"/>
      <c r="T55" s="70"/>
      <c r="U55" s="70"/>
      <c r="V55" s="70"/>
      <c r="W55" s="70"/>
      <c r="X55" s="70"/>
      <c r="Y55" s="70"/>
      <c r="Z55" s="70"/>
      <c r="AA55" s="70"/>
      <c r="AB55" s="70"/>
      <c r="AC55" s="70"/>
    </row>
    <row r="56" spans="1:33" ht="43.5" customHeight="1" x14ac:dyDescent="0.15">
      <c r="A56" s="13">
        <f t="shared" si="3"/>
        <v>51</v>
      </c>
      <c r="B56" s="8" t="s">
        <v>307</v>
      </c>
      <c r="C56" s="9" t="s">
        <v>205</v>
      </c>
      <c r="D56" s="8"/>
      <c r="E56" s="9"/>
      <c r="F56" s="10" t="s">
        <v>206</v>
      </c>
      <c r="G56" s="11">
        <v>1555</v>
      </c>
      <c r="H56" s="11">
        <v>1418</v>
      </c>
      <c r="I56" s="12">
        <f>65+453+43+7+17+767+3+14</f>
        <v>1369</v>
      </c>
      <c r="J56" s="27">
        <f>52+168+2545+10+15+300+1+20</f>
        <v>3111</v>
      </c>
      <c r="K56" s="29">
        <f>50+163+2469+10+15+291+1+19</f>
        <v>3018</v>
      </c>
      <c r="L56" s="12">
        <v>2954</v>
      </c>
      <c r="M56" s="12">
        <f>2441+21+2+1+9</f>
        <v>2474</v>
      </c>
      <c r="N56" s="12">
        <f>2556+30+2+1</f>
        <v>2589</v>
      </c>
      <c r="O56" s="27">
        <f>2524+0</f>
        <v>2524</v>
      </c>
      <c r="P56" s="29">
        <f>2448+0</f>
        <v>2448</v>
      </c>
      <c r="Q56" s="43"/>
      <c r="S56" s="70"/>
      <c r="T56" s="70"/>
      <c r="U56" s="70"/>
      <c r="V56" s="70"/>
      <c r="W56" s="70"/>
      <c r="X56" s="70"/>
      <c r="Y56" s="70"/>
      <c r="Z56" s="70"/>
      <c r="AA56" s="70"/>
      <c r="AB56" s="70"/>
      <c r="AC56" s="70"/>
    </row>
    <row r="57" spans="1:33" ht="43.5" customHeight="1" x14ac:dyDescent="0.15">
      <c r="A57" s="13">
        <f t="shared" si="3"/>
        <v>52</v>
      </c>
      <c r="B57" s="8" t="s">
        <v>207</v>
      </c>
      <c r="C57" s="9" t="s">
        <v>208</v>
      </c>
      <c r="D57" s="8"/>
      <c r="E57" s="9"/>
      <c r="F57" s="10" t="s">
        <v>198</v>
      </c>
      <c r="G57" s="11">
        <v>7176.6</v>
      </c>
      <c r="H57" s="11">
        <v>2601.8000000000002</v>
      </c>
      <c r="I57" s="12">
        <v>2472.4</v>
      </c>
      <c r="J57" s="27">
        <f>1264.3+0+83.8+1.6+6.1+23.7+32.5</f>
        <v>1411.9999999999998</v>
      </c>
      <c r="K57" s="29">
        <f>1201.1+0+79.6+1.5+5.8+22.5+30.9</f>
        <v>1341.3999999999999</v>
      </c>
      <c r="L57" s="12"/>
      <c r="M57" s="12"/>
      <c r="N57" s="12"/>
      <c r="O57" s="27"/>
      <c r="P57" s="29"/>
      <c r="Q57" s="43"/>
      <c r="S57" s="70"/>
      <c r="T57" s="70"/>
      <c r="U57" s="70"/>
      <c r="V57" s="70"/>
      <c r="W57" s="70"/>
      <c r="X57" s="70"/>
      <c r="Y57" s="70"/>
      <c r="Z57" s="70"/>
      <c r="AA57" s="70"/>
      <c r="AB57" s="70"/>
      <c r="AC57" s="70"/>
    </row>
    <row r="58" spans="1:33" ht="43.5" customHeight="1" x14ac:dyDescent="0.15">
      <c r="A58" s="13">
        <f t="shared" si="3"/>
        <v>53</v>
      </c>
      <c r="B58" s="8" t="s">
        <v>209</v>
      </c>
      <c r="C58" s="9" t="s">
        <v>210</v>
      </c>
      <c r="D58" s="8" t="s">
        <v>211</v>
      </c>
      <c r="E58" s="9" t="s">
        <v>212</v>
      </c>
      <c r="F58" s="10" t="s">
        <v>198</v>
      </c>
      <c r="G58" s="11">
        <v>1282.9000000000001</v>
      </c>
      <c r="H58" s="11">
        <f>2740.2+88.6+65.4</f>
        <v>2894.2</v>
      </c>
      <c r="I58" s="12">
        <f>2500+70+50</f>
        <v>2620</v>
      </c>
      <c r="J58" s="27">
        <f>2275+997.5+55.9</f>
        <v>3328.4</v>
      </c>
      <c r="K58" s="29">
        <f>2200+900+50</f>
        <v>3150</v>
      </c>
      <c r="L58" s="12"/>
      <c r="M58" s="12"/>
      <c r="N58" s="12"/>
      <c r="O58" s="27"/>
      <c r="P58" s="29"/>
      <c r="Q58" s="43"/>
      <c r="S58" s="70"/>
      <c r="T58" s="70"/>
      <c r="U58" s="70"/>
      <c r="V58" s="70"/>
      <c r="W58" s="70"/>
      <c r="X58" s="70"/>
      <c r="Y58" s="70"/>
      <c r="Z58" s="70"/>
      <c r="AA58" s="70"/>
      <c r="AB58" s="70"/>
      <c r="AC58" s="70"/>
    </row>
    <row r="59" spans="1:33" ht="43.5" customHeight="1" x14ac:dyDescent="0.15">
      <c r="A59" s="13">
        <f t="shared" si="3"/>
        <v>54</v>
      </c>
      <c r="B59" s="8" t="s">
        <v>213</v>
      </c>
      <c r="C59" s="9" t="s">
        <v>214</v>
      </c>
      <c r="D59" s="8" t="s">
        <v>215</v>
      </c>
      <c r="E59" s="9" t="s">
        <v>216</v>
      </c>
      <c r="F59" s="10" t="s">
        <v>198</v>
      </c>
      <c r="G59" s="11">
        <v>1500</v>
      </c>
      <c r="H59" s="11">
        <v>2620</v>
      </c>
      <c r="I59" s="12">
        <f>2400</f>
        <v>2400</v>
      </c>
      <c r="J59" s="27">
        <v>1450.77</v>
      </c>
      <c r="K59" s="29">
        <v>1400</v>
      </c>
      <c r="L59" s="12"/>
      <c r="M59" s="12"/>
      <c r="N59" s="12"/>
      <c r="O59" s="27"/>
      <c r="P59" s="29"/>
      <c r="Q59" s="43"/>
    </row>
    <row r="60" spans="1:33" ht="43.5" customHeight="1" x14ac:dyDescent="0.15">
      <c r="A60" s="13">
        <f t="shared" si="3"/>
        <v>55</v>
      </c>
      <c r="B60" s="8" t="s">
        <v>217</v>
      </c>
      <c r="C60" s="9" t="s">
        <v>218</v>
      </c>
      <c r="D60" s="8"/>
      <c r="E60" s="9"/>
      <c r="F60" s="10" t="s">
        <v>198</v>
      </c>
      <c r="G60" s="11">
        <v>12698.099999999999</v>
      </c>
      <c r="H60" s="11">
        <v>11000.8</v>
      </c>
      <c r="I60" s="12">
        <v>10450.799999999999</v>
      </c>
      <c r="J60" s="27">
        <f>8407.3+12.9+2.9+49.7+47.1+2.7</f>
        <v>8522.6</v>
      </c>
      <c r="K60" s="29">
        <f>7986.9+12.3+2.8+47.2+44.7+2.6</f>
        <v>8096.5</v>
      </c>
      <c r="L60" s="12"/>
      <c r="M60" s="12"/>
      <c r="N60" s="12"/>
      <c r="O60" s="27"/>
      <c r="P60" s="29"/>
      <c r="Q60" s="43"/>
    </row>
    <row r="61" spans="1:33" ht="43.5" customHeight="1" x14ac:dyDescent="0.15">
      <c r="A61" s="13">
        <f t="shared" si="3"/>
        <v>56</v>
      </c>
      <c r="B61" s="8" t="s">
        <v>308</v>
      </c>
      <c r="C61" s="9" t="s">
        <v>219</v>
      </c>
      <c r="D61" s="8"/>
      <c r="E61" s="9"/>
      <c r="F61" s="10" t="s">
        <v>198</v>
      </c>
      <c r="G61" s="11">
        <v>1477</v>
      </c>
      <c r="H61" s="11">
        <v>1399</v>
      </c>
      <c r="I61" s="12">
        <v>1300</v>
      </c>
      <c r="J61" s="27">
        <f>1416</f>
        <v>1416</v>
      </c>
      <c r="K61" s="29">
        <f>1400</f>
        <v>1400</v>
      </c>
      <c r="L61" s="12"/>
      <c r="M61" s="12"/>
      <c r="N61" s="12"/>
      <c r="O61" s="27"/>
      <c r="P61" s="29"/>
      <c r="Q61" s="43"/>
    </row>
    <row r="62" spans="1:33" ht="43.5" customHeight="1" x14ac:dyDescent="0.15">
      <c r="A62" s="13">
        <f t="shared" si="3"/>
        <v>57</v>
      </c>
      <c r="B62" s="8" t="s">
        <v>332</v>
      </c>
      <c r="C62" s="9" t="s">
        <v>220</v>
      </c>
      <c r="D62" s="8"/>
      <c r="E62" s="9"/>
      <c r="F62" s="10" t="s">
        <v>190</v>
      </c>
      <c r="G62" s="11"/>
      <c r="H62" s="11"/>
      <c r="I62" s="12"/>
      <c r="J62" s="27"/>
      <c r="K62" s="29"/>
      <c r="L62" s="12">
        <v>112.64</v>
      </c>
      <c r="M62" s="12">
        <v>111.14</v>
      </c>
      <c r="N62" s="12">
        <f>20+10+4</f>
        <v>34</v>
      </c>
      <c r="O62" s="27">
        <f>18.38+5.36+0</f>
        <v>23.74</v>
      </c>
      <c r="P62" s="29">
        <f>0+0+0</f>
        <v>0</v>
      </c>
      <c r="Q62" s="43"/>
    </row>
    <row r="63" spans="1:33" ht="61.5" customHeight="1" x14ac:dyDescent="0.15">
      <c r="A63" s="13">
        <f t="shared" si="3"/>
        <v>58</v>
      </c>
      <c r="B63" s="8" t="s">
        <v>114</v>
      </c>
      <c r="C63" s="9" t="s">
        <v>112</v>
      </c>
      <c r="D63" s="8"/>
      <c r="E63" s="9"/>
      <c r="F63" s="10" t="s">
        <v>115</v>
      </c>
      <c r="G63" s="11"/>
      <c r="H63" s="11">
        <v>226.8</v>
      </c>
      <c r="I63" s="12"/>
      <c r="J63" s="27"/>
      <c r="K63" s="29"/>
      <c r="L63" s="12">
        <v>746</v>
      </c>
      <c r="M63" s="12">
        <v>417</v>
      </c>
      <c r="N63" s="12">
        <f>2+511+224</f>
        <v>737</v>
      </c>
      <c r="O63" s="27">
        <f>2+364.3+576.7</f>
        <v>943</v>
      </c>
      <c r="P63" s="29">
        <f>2+382.5+605.5</f>
        <v>990</v>
      </c>
      <c r="Q63" s="43"/>
    </row>
    <row r="64" spans="1:33" ht="59.25" customHeight="1" x14ac:dyDescent="0.15">
      <c r="A64" s="13">
        <f t="shared" si="3"/>
        <v>59</v>
      </c>
      <c r="B64" s="8" t="s">
        <v>309</v>
      </c>
      <c r="C64" s="9" t="s">
        <v>221</v>
      </c>
      <c r="D64" s="8"/>
      <c r="E64" s="9"/>
      <c r="F64" s="10" t="s">
        <v>222</v>
      </c>
      <c r="G64" s="11">
        <v>1529.3</v>
      </c>
      <c r="H64" s="11">
        <v>1099.8</v>
      </c>
      <c r="I64" s="12">
        <v>1209.7</v>
      </c>
      <c r="J64" s="27">
        <f>1046.6+11.1+32.3+18.2+82.8+0.6+3.6+0.4</f>
        <v>1195.5999999999997</v>
      </c>
      <c r="K64" s="29">
        <f>1151.3+4+12.2+35.5+20+91.1+0.7+4+0.4</f>
        <v>1319.2</v>
      </c>
      <c r="L64" s="12">
        <v>1204.3720000000001</v>
      </c>
      <c r="M64" s="12">
        <v>1138.3009999999999</v>
      </c>
      <c r="N64" s="12">
        <v>1250.9000000000001</v>
      </c>
      <c r="O64" s="27">
        <f>949.5+243.5+1.2+0.8+0.3</f>
        <v>1195.3</v>
      </c>
      <c r="P64" s="29">
        <f>1044.5+267.9+1.3+0.9+0.3+0</f>
        <v>1314.9</v>
      </c>
      <c r="Q64" s="43"/>
    </row>
    <row r="65" spans="1:17" ht="43.5" customHeight="1" x14ac:dyDescent="0.15">
      <c r="A65" s="13">
        <f t="shared" si="3"/>
        <v>60</v>
      </c>
      <c r="B65" s="8" t="s">
        <v>223</v>
      </c>
      <c r="C65" s="9" t="s">
        <v>224</v>
      </c>
      <c r="D65" s="8"/>
      <c r="E65" s="9"/>
      <c r="F65" s="10" t="s">
        <v>194</v>
      </c>
      <c r="G65" s="11">
        <v>22587</v>
      </c>
      <c r="H65" s="11">
        <v>29228</v>
      </c>
      <c r="I65" s="12">
        <v>30000</v>
      </c>
      <c r="J65" s="27">
        <f>33197</f>
        <v>33197</v>
      </c>
      <c r="K65" s="29">
        <f>34000</f>
        <v>34000</v>
      </c>
      <c r="L65" s="12"/>
      <c r="M65" s="12"/>
      <c r="N65" s="12"/>
      <c r="O65" s="27"/>
      <c r="P65" s="29"/>
      <c r="Q65" s="43"/>
    </row>
    <row r="66" spans="1:17" ht="43.5" customHeight="1" x14ac:dyDescent="0.15">
      <c r="A66" s="13">
        <f t="shared" si="3"/>
        <v>61</v>
      </c>
      <c r="B66" s="8" t="s">
        <v>225</v>
      </c>
      <c r="C66" s="9" t="s">
        <v>226</v>
      </c>
      <c r="D66" s="8" t="s">
        <v>227</v>
      </c>
      <c r="E66" s="9"/>
      <c r="F66" s="10" t="s">
        <v>202</v>
      </c>
      <c r="G66" s="11"/>
      <c r="H66" s="11"/>
      <c r="I66" s="12"/>
      <c r="J66" s="27"/>
      <c r="K66" s="29"/>
      <c r="L66" s="12">
        <v>126.253</v>
      </c>
      <c r="M66" s="12">
        <v>125.45</v>
      </c>
      <c r="N66" s="12">
        <v>120</v>
      </c>
      <c r="O66" s="27">
        <f>139.165</f>
        <v>139.16499999999999</v>
      </c>
      <c r="P66" s="29">
        <f>120</f>
        <v>120</v>
      </c>
      <c r="Q66" s="43"/>
    </row>
    <row r="67" spans="1:17" ht="43.5" customHeight="1" x14ac:dyDescent="0.15">
      <c r="A67" s="13">
        <f>A66+1</f>
        <v>62</v>
      </c>
      <c r="B67" s="8" t="s">
        <v>242</v>
      </c>
      <c r="C67" s="9" t="s">
        <v>243</v>
      </c>
      <c r="D67" s="8" t="s">
        <v>312</v>
      </c>
      <c r="E67" s="9" t="s">
        <v>313</v>
      </c>
      <c r="F67" s="10" t="s">
        <v>241</v>
      </c>
      <c r="G67" s="11"/>
      <c r="H67" s="11"/>
      <c r="I67" s="12"/>
      <c r="J67" s="27">
        <f>664.3+1515+17.1+19.5</f>
        <v>2215.9</v>
      </c>
      <c r="K67" s="29">
        <f>100+700+10+5</f>
        <v>815</v>
      </c>
      <c r="L67" s="12"/>
      <c r="M67" s="12"/>
      <c r="N67" s="12"/>
      <c r="O67" s="27"/>
      <c r="P67" s="29"/>
      <c r="Q67" s="44"/>
    </row>
    <row r="68" spans="1:17" ht="43.5" customHeight="1" x14ac:dyDescent="0.15">
      <c r="A68" s="13">
        <f t="shared" ref="A68:A95" si="4">ROW()-5</f>
        <v>63</v>
      </c>
      <c r="B68" s="8" t="s">
        <v>116</v>
      </c>
      <c r="C68" s="9" t="s">
        <v>117</v>
      </c>
      <c r="D68" s="8" t="s">
        <v>118</v>
      </c>
      <c r="E68" s="9" t="s">
        <v>119</v>
      </c>
      <c r="F68" s="10" t="s">
        <v>120</v>
      </c>
      <c r="G68" s="11"/>
      <c r="H68" s="11"/>
      <c r="I68" s="12"/>
      <c r="J68" s="27"/>
      <c r="K68" s="29"/>
      <c r="L68" s="12">
        <v>161.55000000000001</v>
      </c>
      <c r="M68" s="12">
        <v>90.92</v>
      </c>
      <c r="N68" s="12">
        <v>101</v>
      </c>
      <c r="O68" s="27">
        <f>84.46+0</f>
        <v>84.46</v>
      </c>
      <c r="P68" s="29">
        <f>100+2.5</f>
        <v>102.5</v>
      </c>
      <c r="Q68" s="43"/>
    </row>
    <row r="69" spans="1:17" ht="43.5" customHeight="1" x14ac:dyDescent="0.15">
      <c r="A69" s="13">
        <f t="shared" si="4"/>
        <v>64</v>
      </c>
      <c r="B69" s="8" t="s">
        <v>121</v>
      </c>
      <c r="C69" s="9" t="s">
        <v>122</v>
      </c>
      <c r="D69" s="8"/>
      <c r="E69" s="9"/>
      <c r="F69" s="10" t="s">
        <v>123</v>
      </c>
      <c r="G69" s="11">
        <v>1426</v>
      </c>
      <c r="H69" s="11">
        <v>1454</v>
      </c>
      <c r="I69" s="12">
        <v>1381</v>
      </c>
      <c r="J69" s="27">
        <f>395+163+690</f>
        <v>1248</v>
      </c>
      <c r="K69" s="29">
        <f>383+158+669</f>
        <v>1210</v>
      </c>
      <c r="L69" s="12"/>
      <c r="M69" s="12"/>
      <c r="N69" s="12"/>
      <c r="O69" s="27"/>
      <c r="P69" s="29"/>
      <c r="Q69" s="43"/>
    </row>
    <row r="70" spans="1:17" ht="43.5" customHeight="1" x14ac:dyDescent="0.15">
      <c r="A70" s="13">
        <f t="shared" si="4"/>
        <v>65</v>
      </c>
      <c r="B70" s="8" t="s">
        <v>124</v>
      </c>
      <c r="C70" s="9" t="s">
        <v>125</v>
      </c>
      <c r="D70" s="8"/>
      <c r="E70" s="9"/>
      <c r="F70" s="10" t="s">
        <v>123</v>
      </c>
      <c r="G70" s="11">
        <v>1601.8340000000001</v>
      </c>
      <c r="H70" s="11">
        <v>1422.6369999999999</v>
      </c>
      <c r="I70" s="12">
        <v>1391.55</v>
      </c>
      <c r="J70" s="27">
        <f>706.02+266.57+354.2+0.08+0.14+0.073+0.98</f>
        <v>1328.0630000000001</v>
      </c>
      <c r="K70" s="29">
        <f>700+255+340+0.07+0.1+0.05+0</f>
        <v>1295.2199999999998</v>
      </c>
      <c r="L70" s="12"/>
      <c r="M70" s="12"/>
      <c r="N70" s="12"/>
      <c r="O70" s="27"/>
      <c r="P70" s="29"/>
      <c r="Q70" s="43"/>
    </row>
    <row r="71" spans="1:17" ht="43.5" customHeight="1" x14ac:dyDescent="0.15">
      <c r="A71" s="13">
        <f t="shared" si="4"/>
        <v>66</v>
      </c>
      <c r="B71" s="8" t="s">
        <v>271</v>
      </c>
      <c r="C71" s="9" t="s">
        <v>272</v>
      </c>
      <c r="D71" s="8"/>
      <c r="E71" s="9" t="s">
        <v>273</v>
      </c>
      <c r="F71" s="10" t="s">
        <v>274</v>
      </c>
      <c r="G71" s="11">
        <v>2435</v>
      </c>
      <c r="H71" s="11">
        <v>2566</v>
      </c>
      <c r="I71" s="12">
        <v>1800</v>
      </c>
      <c r="J71" s="27">
        <f>1587+130</f>
        <v>1717</v>
      </c>
      <c r="K71" s="29">
        <f>1660+136</f>
        <v>1796</v>
      </c>
      <c r="L71" s="12"/>
      <c r="M71" s="12"/>
      <c r="N71" s="12"/>
      <c r="O71" s="27"/>
      <c r="P71" s="29"/>
      <c r="Q71" s="43"/>
    </row>
    <row r="72" spans="1:17" ht="43.5" customHeight="1" x14ac:dyDescent="0.15">
      <c r="A72" s="13">
        <f t="shared" si="4"/>
        <v>67</v>
      </c>
      <c r="B72" s="8" t="s">
        <v>228</v>
      </c>
      <c r="C72" s="9" t="s">
        <v>229</v>
      </c>
      <c r="D72" s="8" t="s">
        <v>230</v>
      </c>
      <c r="E72" s="9" t="s">
        <v>231</v>
      </c>
      <c r="F72" s="10" t="s">
        <v>196</v>
      </c>
      <c r="G72" s="11">
        <v>638155.21</v>
      </c>
      <c r="H72" s="11">
        <v>648990.19999999995</v>
      </c>
      <c r="I72" s="12">
        <v>646274</v>
      </c>
      <c r="J72" s="27">
        <f>6465+616047</f>
        <v>622512</v>
      </c>
      <c r="K72" s="29">
        <f>6396+609463</f>
        <v>615859</v>
      </c>
      <c r="L72" s="12"/>
      <c r="M72" s="12"/>
      <c r="N72" s="12"/>
      <c r="O72" s="27"/>
      <c r="P72" s="29"/>
      <c r="Q72" s="43"/>
    </row>
    <row r="73" spans="1:17" ht="43.5" customHeight="1" x14ac:dyDescent="0.15">
      <c r="A73" s="13">
        <f t="shared" si="4"/>
        <v>68</v>
      </c>
      <c r="B73" s="8" t="s">
        <v>275</v>
      </c>
      <c r="C73" s="9" t="s">
        <v>276</v>
      </c>
      <c r="D73" s="8"/>
      <c r="E73" s="9"/>
      <c r="F73" s="10" t="s">
        <v>277</v>
      </c>
      <c r="G73" s="11"/>
      <c r="H73" s="11"/>
      <c r="I73" s="12"/>
      <c r="J73" s="27"/>
      <c r="K73" s="29"/>
      <c r="L73" s="12">
        <v>112.27</v>
      </c>
      <c r="M73" s="12">
        <v>175.28</v>
      </c>
      <c r="N73" s="12">
        <v>175.28</v>
      </c>
      <c r="O73" s="27">
        <f>184</f>
        <v>184</v>
      </c>
      <c r="P73" s="29">
        <f>184</f>
        <v>184</v>
      </c>
      <c r="Q73" s="43"/>
    </row>
    <row r="74" spans="1:17" ht="43.5" customHeight="1" x14ac:dyDescent="0.15">
      <c r="A74" s="13">
        <f t="shared" si="4"/>
        <v>69</v>
      </c>
      <c r="B74" s="8" t="s">
        <v>126</v>
      </c>
      <c r="C74" s="9" t="s">
        <v>127</v>
      </c>
      <c r="D74" s="8" t="s">
        <v>128</v>
      </c>
      <c r="E74" s="9" t="s">
        <v>129</v>
      </c>
      <c r="F74" s="10" t="s">
        <v>75</v>
      </c>
      <c r="G74" s="11">
        <v>2655</v>
      </c>
      <c r="H74" s="11">
        <v>2748.4379999999996</v>
      </c>
      <c r="I74" s="12">
        <v>2718.17</v>
      </c>
      <c r="J74" s="27">
        <f>2685.2+10.27+1.71+0.625+0.156+1.97</f>
        <v>2699.9309999999996</v>
      </c>
      <c r="K74" s="29">
        <f>2658+10.16+1.69+0.1+0.15+1.95</f>
        <v>2672.0499999999997</v>
      </c>
      <c r="L74" s="12">
        <v>2279.3000000000002</v>
      </c>
      <c r="M74" s="12">
        <v>2424.27</v>
      </c>
      <c r="N74" s="12">
        <v>2401</v>
      </c>
      <c r="O74" s="27">
        <f>2334.17+0.012+1.701+0.267</f>
        <v>2336.15</v>
      </c>
      <c r="P74" s="29">
        <f>2310+0.01+1.683+0.1</f>
        <v>2311.7930000000001</v>
      </c>
      <c r="Q74" s="43"/>
    </row>
    <row r="75" spans="1:17" ht="43.5" customHeight="1" x14ac:dyDescent="0.15">
      <c r="A75" s="13">
        <f t="shared" si="4"/>
        <v>70</v>
      </c>
      <c r="B75" s="8" t="s">
        <v>131</v>
      </c>
      <c r="C75" s="9" t="s">
        <v>132</v>
      </c>
      <c r="D75" s="8" t="s">
        <v>133</v>
      </c>
      <c r="E75" s="9" t="s">
        <v>134</v>
      </c>
      <c r="F75" s="10" t="s">
        <v>109</v>
      </c>
      <c r="G75" s="11">
        <v>34716</v>
      </c>
      <c r="H75" s="11">
        <v>35286</v>
      </c>
      <c r="I75" s="12">
        <v>34464</v>
      </c>
      <c r="J75" s="27">
        <f>38494</f>
        <v>38494</v>
      </c>
      <c r="K75" s="29">
        <f>38864</f>
        <v>38864</v>
      </c>
      <c r="L75" s="12"/>
      <c r="M75" s="12"/>
      <c r="N75" s="12"/>
      <c r="O75" s="27"/>
      <c r="P75" s="29"/>
      <c r="Q75" s="43"/>
    </row>
    <row r="76" spans="1:17" ht="43.5" customHeight="1" x14ac:dyDescent="0.15">
      <c r="A76" s="13">
        <f t="shared" si="4"/>
        <v>71</v>
      </c>
      <c r="B76" s="8" t="s">
        <v>287</v>
      </c>
      <c r="C76" s="9" t="s">
        <v>288</v>
      </c>
      <c r="D76" s="8"/>
      <c r="E76" s="9"/>
      <c r="F76" s="10" t="s">
        <v>289</v>
      </c>
      <c r="G76" s="11">
        <v>904.85</v>
      </c>
      <c r="H76" s="11">
        <v>1212.9699999999998</v>
      </c>
      <c r="I76" s="12">
        <v>1577.95</v>
      </c>
      <c r="J76" s="27">
        <f>1317.9+157.9+26.1+0.3+38.2+13.6+0+114.6</f>
        <v>1668.6</v>
      </c>
      <c r="K76" s="29">
        <f>1201.2+95.7+19.5+4.3+44+11.3+0+128.1</f>
        <v>1504.1</v>
      </c>
      <c r="L76" s="12"/>
      <c r="M76" s="12"/>
      <c r="N76" s="12"/>
      <c r="O76" s="27"/>
      <c r="P76" s="29"/>
      <c r="Q76" s="43"/>
    </row>
    <row r="77" spans="1:17" ht="43.5" customHeight="1" x14ac:dyDescent="0.15">
      <c r="A77" s="13">
        <f t="shared" si="4"/>
        <v>72</v>
      </c>
      <c r="B77" s="8" t="s">
        <v>330</v>
      </c>
      <c r="C77" s="9" t="s">
        <v>135</v>
      </c>
      <c r="D77" s="8"/>
      <c r="E77" s="9"/>
      <c r="F77" s="10" t="s">
        <v>34</v>
      </c>
      <c r="G77" s="11"/>
      <c r="H77" s="11"/>
      <c r="I77" s="12"/>
      <c r="J77" s="27"/>
      <c r="K77" s="29"/>
      <c r="L77" s="12">
        <v>212</v>
      </c>
      <c r="M77" s="12">
        <v>223</v>
      </c>
      <c r="N77" s="12">
        <v>219</v>
      </c>
      <c r="O77" s="27">
        <f>208+0+0</f>
        <v>208</v>
      </c>
      <c r="P77" s="29">
        <f>204+0+0</f>
        <v>204</v>
      </c>
      <c r="Q77" s="43"/>
    </row>
    <row r="78" spans="1:17" ht="43.5" customHeight="1" x14ac:dyDescent="0.15">
      <c r="A78" s="13">
        <f t="shared" si="4"/>
        <v>73</v>
      </c>
      <c r="B78" s="8" t="s">
        <v>314</v>
      </c>
      <c r="C78" s="9" t="s">
        <v>136</v>
      </c>
      <c r="D78" s="8"/>
      <c r="E78" s="9"/>
      <c r="F78" s="10" t="s">
        <v>137</v>
      </c>
      <c r="G78" s="11">
        <v>2084.1999999999998</v>
      </c>
      <c r="H78" s="11">
        <v>1714.3</v>
      </c>
      <c r="I78" s="12">
        <v>1600</v>
      </c>
      <c r="J78" s="27">
        <f>2450</f>
        <v>2450</v>
      </c>
      <c r="K78" s="29">
        <v>2300</v>
      </c>
      <c r="L78" s="12"/>
      <c r="M78" s="12"/>
      <c r="N78" s="12"/>
      <c r="O78" s="27"/>
      <c r="P78" s="29"/>
      <c r="Q78" s="43"/>
    </row>
    <row r="79" spans="1:17" ht="43.5" customHeight="1" x14ac:dyDescent="0.15">
      <c r="A79" s="13">
        <f t="shared" si="4"/>
        <v>74</v>
      </c>
      <c r="B79" s="8" t="s">
        <v>138</v>
      </c>
      <c r="C79" s="9" t="s">
        <v>139</v>
      </c>
      <c r="D79" s="8" t="s">
        <v>315</v>
      </c>
      <c r="E79" s="9" t="s">
        <v>140</v>
      </c>
      <c r="F79" s="10" t="s">
        <v>316</v>
      </c>
      <c r="G79" s="11"/>
      <c r="H79" s="11"/>
      <c r="I79" s="12">
        <v>1586.1299999999999</v>
      </c>
      <c r="J79" s="27">
        <f>337.54+0.97+1.23+57.81+1210.88+39.81</f>
        <v>1648.2400000000002</v>
      </c>
      <c r="K79" s="29">
        <f>320+0.5+0.5+30+1140+35</f>
        <v>1526</v>
      </c>
      <c r="L79" s="12"/>
      <c r="M79" s="12"/>
      <c r="N79" s="12"/>
      <c r="O79" s="27"/>
      <c r="P79" s="29"/>
      <c r="Q79" s="43"/>
    </row>
    <row r="80" spans="1:17" ht="43.5" customHeight="1" x14ac:dyDescent="0.15">
      <c r="A80" s="13">
        <f t="shared" si="4"/>
        <v>75</v>
      </c>
      <c r="B80" s="8" t="s">
        <v>141</v>
      </c>
      <c r="C80" s="9" t="s">
        <v>142</v>
      </c>
      <c r="D80" s="8" t="s">
        <v>143</v>
      </c>
      <c r="E80" s="9"/>
      <c r="F80" s="10" t="s">
        <v>70</v>
      </c>
      <c r="G80" s="11"/>
      <c r="H80" s="11"/>
      <c r="I80" s="12"/>
      <c r="J80" s="27"/>
      <c r="K80" s="29"/>
      <c r="L80" s="12">
        <v>131.756</v>
      </c>
      <c r="M80" s="12">
        <v>151.91999999999999</v>
      </c>
      <c r="N80" s="12">
        <v>120</v>
      </c>
      <c r="O80" s="27">
        <f>155.184</f>
        <v>155.184</v>
      </c>
      <c r="P80" s="29">
        <f>120</f>
        <v>120</v>
      </c>
      <c r="Q80" s="43"/>
    </row>
    <row r="81" spans="1:17" ht="45" customHeight="1" x14ac:dyDescent="0.15">
      <c r="A81" s="13">
        <f t="shared" si="4"/>
        <v>76</v>
      </c>
      <c r="B81" s="8" t="s">
        <v>144</v>
      </c>
      <c r="C81" s="9" t="s">
        <v>145</v>
      </c>
      <c r="D81" s="8" t="s">
        <v>146</v>
      </c>
      <c r="E81" s="9" t="s">
        <v>147</v>
      </c>
      <c r="F81" s="10" t="s">
        <v>317</v>
      </c>
      <c r="G81" s="11"/>
      <c r="H81" s="11">
        <f>484.5+767.5+380.5+0.1+0.5</f>
        <v>1633.1</v>
      </c>
      <c r="I81" s="12">
        <f>436.1+690.8+342.5+0.1+0.5</f>
        <v>1470</v>
      </c>
      <c r="J81" s="27">
        <f>251.71+651.28+402.91+0.08+1.33+0.19+0.04</f>
        <v>1307.54</v>
      </c>
      <c r="K81" s="29">
        <f>226.54+586.15+362.62+0.07+1.2+0.17+0.04</f>
        <v>1176.79</v>
      </c>
      <c r="L81" s="12"/>
      <c r="M81" s="12"/>
      <c r="N81" s="12"/>
      <c r="O81" s="27"/>
      <c r="P81" s="29"/>
      <c r="Q81" s="43"/>
    </row>
    <row r="82" spans="1:17" ht="43.5" customHeight="1" x14ac:dyDescent="0.15">
      <c r="A82" s="13">
        <f t="shared" si="4"/>
        <v>77</v>
      </c>
      <c r="B82" s="8" t="s">
        <v>148</v>
      </c>
      <c r="C82" s="9" t="s">
        <v>149</v>
      </c>
      <c r="D82" s="8"/>
      <c r="E82" s="9"/>
      <c r="F82" s="10" t="s">
        <v>24</v>
      </c>
      <c r="G82" s="11">
        <v>1073.4000000000001</v>
      </c>
      <c r="H82" s="11">
        <v>841.5</v>
      </c>
      <c r="I82" s="12"/>
      <c r="J82" s="27">
        <f>825.6+166.6</f>
        <v>992.2</v>
      </c>
      <c r="K82" s="29">
        <f>817.3+165</f>
        <v>982.3</v>
      </c>
      <c r="L82" s="12"/>
      <c r="M82" s="12"/>
      <c r="N82" s="12"/>
      <c r="O82" s="27"/>
      <c r="P82" s="29"/>
      <c r="Q82" s="43"/>
    </row>
    <row r="83" spans="1:17" ht="45.75" customHeight="1" x14ac:dyDescent="0.15">
      <c r="A83" s="13">
        <f t="shared" si="4"/>
        <v>78</v>
      </c>
      <c r="B83" s="8" t="s">
        <v>150</v>
      </c>
      <c r="C83" s="9" t="s">
        <v>151</v>
      </c>
      <c r="D83" s="8"/>
      <c r="E83" s="9"/>
      <c r="F83" s="10" t="s">
        <v>24</v>
      </c>
      <c r="G83" s="11"/>
      <c r="H83" s="11"/>
      <c r="I83" s="12"/>
      <c r="J83" s="27"/>
      <c r="K83" s="29"/>
      <c r="L83" s="12">
        <v>744.06</v>
      </c>
      <c r="M83" s="12">
        <v>1157.3719999999998</v>
      </c>
      <c r="N83" s="12">
        <v>1101.7199999999998</v>
      </c>
      <c r="O83" s="27">
        <f>1167.487+0.001+0.003+0.076+1.473+0.001</f>
        <v>1169.0409999999999</v>
      </c>
      <c r="P83" s="29">
        <f>1200+0.5+0.5+0.1+0.6+0.02</f>
        <v>1201.7199999999998</v>
      </c>
      <c r="Q83" s="43"/>
    </row>
    <row r="84" spans="1:17" ht="43.5" customHeight="1" x14ac:dyDescent="0.15">
      <c r="A84" s="13">
        <f t="shared" si="4"/>
        <v>79</v>
      </c>
      <c r="B84" s="8" t="s">
        <v>152</v>
      </c>
      <c r="C84" s="9" t="s">
        <v>151</v>
      </c>
      <c r="D84" s="8"/>
      <c r="E84" s="9"/>
      <c r="F84" s="10" t="s">
        <v>24</v>
      </c>
      <c r="G84" s="11">
        <v>1589.1880000000001</v>
      </c>
      <c r="H84" s="11">
        <v>1429.5429999999999</v>
      </c>
      <c r="I84" s="12">
        <v>1415.249</v>
      </c>
      <c r="J84" s="27">
        <f>438.757+796.978+0+32.54+32.54+22.66+0.33+0.262+0.25+1.45</f>
        <v>1325.7669999999998</v>
      </c>
      <c r="K84" s="29">
        <f>434.369+789.009+0+32.215+32.125+22.433+0.327+0.259+0.248+1.436</f>
        <v>1312.421</v>
      </c>
      <c r="L84" s="12"/>
      <c r="M84" s="12"/>
      <c r="N84" s="12"/>
      <c r="O84" s="27"/>
      <c r="P84" s="29"/>
      <c r="Q84" s="43"/>
    </row>
    <row r="85" spans="1:17" ht="43.5" customHeight="1" x14ac:dyDescent="0.15">
      <c r="A85" s="13">
        <f t="shared" si="4"/>
        <v>80</v>
      </c>
      <c r="B85" s="8" t="s">
        <v>153</v>
      </c>
      <c r="C85" s="9" t="s">
        <v>154</v>
      </c>
      <c r="D85" s="8"/>
      <c r="E85" s="9"/>
      <c r="F85" s="10" t="s">
        <v>24</v>
      </c>
      <c r="G85" s="11">
        <v>1432.5</v>
      </c>
      <c r="H85" s="11">
        <v>1787.3999999999999</v>
      </c>
      <c r="I85" s="12">
        <v>1662.2</v>
      </c>
      <c r="J85" s="27">
        <f>1191.9+147.8+1.8+421.7+0.4+0.06+2.2</f>
        <v>1765.8600000000001</v>
      </c>
      <c r="K85" s="29">
        <f>1100+130+1.5+410+0.2+0.03+1.5</f>
        <v>1643.23</v>
      </c>
      <c r="L85" s="12"/>
      <c r="M85" s="12"/>
      <c r="N85" s="12"/>
      <c r="O85" s="27"/>
      <c r="P85" s="29"/>
      <c r="Q85" s="43"/>
    </row>
    <row r="86" spans="1:17" ht="43.5" customHeight="1" x14ac:dyDescent="0.15">
      <c r="A86" s="13">
        <f t="shared" si="4"/>
        <v>81</v>
      </c>
      <c r="B86" s="8" t="s">
        <v>155</v>
      </c>
      <c r="C86" s="9" t="s">
        <v>156</v>
      </c>
      <c r="D86" s="8"/>
      <c r="E86" s="9"/>
      <c r="F86" s="10" t="s">
        <v>86</v>
      </c>
      <c r="G86" s="11">
        <v>10371</v>
      </c>
      <c r="H86" s="11">
        <v>10650</v>
      </c>
      <c r="I86" s="12">
        <v>10189</v>
      </c>
      <c r="J86" s="27">
        <f>1009+8516+265+10</f>
        <v>9800</v>
      </c>
      <c r="K86" s="29">
        <f>920+9000+260+9</f>
        <v>10189</v>
      </c>
      <c r="L86" s="12"/>
      <c r="M86" s="12"/>
      <c r="N86" s="12"/>
      <c r="O86" s="27"/>
      <c r="P86" s="29"/>
      <c r="Q86" s="43"/>
    </row>
    <row r="87" spans="1:17" ht="43.5" customHeight="1" x14ac:dyDescent="0.15">
      <c r="A87" s="13">
        <f t="shared" si="4"/>
        <v>82</v>
      </c>
      <c r="B87" s="8" t="s">
        <v>157</v>
      </c>
      <c r="C87" s="9" t="s">
        <v>158</v>
      </c>
      <c r="D87" s="8"/>
      <c r="E87" s="9"/>
      <c r="F87" s="10" t="s">
        <v>130</v>
      </c>
      <c r="G87" s="11">
        <v>29167.05</v>
      </c>
      <c r="H87" s="11">
        <v>26544.580000000005</v>
      </c>
      <c r="I87" s="12">
        <v>28347.77</v>
      </c>
      <c r="J87" s="27">
        <f>18589.45+74.37+10882.51+3.31+0.37+0.45+0.65+0.1</f>
        <v>29551.210000000003</v>
      </c>
      <c r="K87" s="29">
        <f>19761+79.06+11568+3.52+0.39+0.48+0.69+0.11</f>
        <v>31413.25</v>
      </c>
      <c r="L87" s="12"/>
      <c r="M87" s="12"/>
      <c r="N87" s="12"/>
      <c r="O87" s="27"/>
      <c r="P87" s="29"/>
      <c r="Q87" s="43"/>
    </row>
    <row r="88" spans="1:17" ht="43.5" customHeight="1" x14ac:dyDescent="0.15">
      <c r="A88" s="13">
        <f t="shared" si="4"/>
        <v>83</v>
      </c>
      <c r="B88" s="8" t="s">
        <v>159</v>
      </c>
      <c r="C88" s="9" t="s">
        <v>160</v>
      </c>
      <c r="D88" s="8"/>
      <c r="E88" s="9"/>
      <c r="F88" s="10" t="s">
        <v>60</v>
      </c>
      <c r="G88" s="11"/>
      <c r="H88" s="11"/>
      <c r="I88" s="12"/>
      <c r="J88" s="27"/>
      <c r="K88" s="29"/>
      <c r="L88" s="12">
        <v>365.6</v>
      </c>
      <c r="M88" s="12">
        <v>357.9</v>
      </c>
      <c r="N88" s="12">
        <v>250</v>
      </c>
      <c r="O88" s="27">
        <v>329.5</v>
      </c>
      <c r="P88" s="29">
        <v>250</v>
      </c>
      <c r="Q88" s="43"/>
    </row>
    <row r="89" spans="1:17" ht="43.5" customHeight="1" x14ac:dyDescent="0.15">
      <c r="A89" s="13">
        <f t="shared" si="4"/>
        <v>84</v>
      </c>
      <c r="B89" s="8" t="s">
        <v>278</v>
      </c>
      <c r="C89" s="9" t="s">
        <v>279</v>
      </c>
      <c r="D89" s="8" t="s">
        <v>280</v>
      </c>
      <c r="E89" s="9" t="s">
        <v>281</v>
      </c>
      <c r="F89" s="10" t="s">
        <v>241</v>
      </c>
      <c r="G89" s="11"/>
      <c r="H89" s="11"/>
      <c r="I89" s="12">
        <v>240</v>
      </c>
      <c r="J89" s="27">
        <v>0</v>
      </c>
      <c r="K89" s="29"/>
      <c r="L89" s="12"/>
      <c r="M89" s="12"/>
      <c r="N89" s="12"/>
      <c r="O89" s="27"/>
      <c r="P89" s="29"/>
      <c r="Q89" s="43"/>
    </row>
    <row r="90" spans="1:17" ht="43.5" customHeight="1" x14ac:dyDescent="0.15">
      <c r="A90" s="13">
        <f t="shared" si="4"/>
        <v>85</v>
      </c>
      <c r="B90" s="8" t="s">
        <v>161</v>
      </c>
      <c r="C90" s="9" t="s">
        <v>162</v>
      </c>
      <c r="D90" s="8"/>
      <c r="E90" s="9"/>
      <c r="F90" s="10" t="s">
        <v>113</v>
      </c>
      <c r="G90" s="11">
        <v>3012.0010000000002</v>
      </c>
      <c r="H90" s="11">
        <v>2820.2530000000002</v>
      </c>
      <c r="I90" s="12">
        <v>2821.9</v>
      </c>
      <c r="J90" s="27">
        <f>1587.51+8.98+23.01+0.89+727.63+12.78+0.42</f>
        <v>2361.2200000000003</v>
      </c>
      <c r="K90" s="29">
        <f>1313+18+46+0.75+602+13+0.5</f>
        <v>1993.25</v>
      </c>
      <c r="L90" s="12"/>
      <c r="M90" s="12"/>
      <c r="N90" s="12"/>
      <c r="O90" s="27"/>
      <c r="P90" s="29"/>
      <c r="Q90" s="43"/>
    </row>
    <row r="91" spans="1:17" ht="43.5" customHeight="1" x14ac:dyDescent="0.15">
      <c r="A91" s="13">
        <f t="shared" si="4"/>
        <v>86</v>
      </c>
      <c r="B91" s="8" t="s">
        <v>163</v>
      </c>
      <c r="C91" s="9" t="s">
        <v>164</v>
      </c>
      <c r="D91" s="8"/>
      <c r="E91" s="9"/>
      <c r="F91" s="10" t="s">
        <v>165</v>
      </c>
      <c r="G91" s="11">
        <v>9089.7999999999993</v>
      </c>
      <c r="H91" s="11">
        <v>10005.100000000002</v>
      </c>
      <c r="I91" s="12">
        <v>10502.900000000001</v>
      </c>
      <c r="J91" s="27">
        <f>2097+3608+4042+0.4+13+499+0.1+0+0+1.1+1</f>
        <v>10261.6</v>
      </c>
      <c r="K91" s="29">
        <f>2327+4004+4486+0.5+13+553+0.2+0.1+0.2+1.2+1</f>
        <v>11386.200000000003</v>
      </c>
      <c r="L91" s="12"/>
      <c r="M91" s="12"/>
      <c r="N91" s="12"/>
      <c r="O91" s="27"/>
      <c r="P91" s="29"/>
      <c r="Q91" s="43"/>
    </row>
    <row r="92" spans="1:17" ht="43.5" customHeight="1" x14ac:dyDescent="0.15">
      <c r="A92" s="13">
        <f t="shared" si="4"/>
        <v>87</v>
      </c>
      <c r="B92" s="8" t="s">
        <v>318</v>
      </c>
      <c r="C92" s="9" t="s">
        <v>166</v>
      </c>
      <c r="D92" s="8"/>
      <c r="E92" s="9"/>
      <c r="F92" s="10" t="s">
        <v>48</v>
      </c>
      <c r="G92" s="11">
        <v>27703.9</v>
      </c>
      <c r="H92" s="11">
        <v>28641.86</v>
      </c>
      <c r="I92" s="12">
        <v>28203.15</v>
      </c>
      <c r="J92" s="27">
        <f>27166.44+85.58+88.16+5.44+0.17+0.17+0</f>
        <v>27345.959999999995</v>
      </c>
      <c r="K92" s="29">
        <f>27000+85+80+10+0.5+10+1+0.15+0.15+0.2</f>
        <v>27187.000000000004</v>
      </c>
      <c r="L92" s="12"/>
      <c r="M92" s="12"/>
      <c r="N92" s="12"/>
      <c r="O92" s="27"/>
      <c r="P92" s="29"/>
      <c r="Q92" s="43"/>
    </row>
    <row r="93" spans="1:17" ht="42" customHeight="1" x14ac:dyDescent="0.15">
      <c r="A93" s="13">
        <f t="shared" si="4"/>
        <v>88</v>
      </c>
      <c r="B93" s="30" t="s">
        <v>233</v>
      </c>
      <c r="C93" s="31" t="s">
        <v>234</v>
      </c>
      <c r="D93" s="30"/>
      <c r="E93" s="31"/>
      <c r="F93" s="32" t="s">
        <v>198</v>
      </c>
      <c r="G93" s="33">
        <v>32276.34</v>
      </c>
      <c r="H93" s="33">
        <v>29187.19</v>
      </c>
      <c r="I93" s="34">
        <v>29015</v>
      </c>
      <c r="J93" s="27">
        <f>30338.72+17.08</f>
        <v>30355.800000000003</v>
      </c>
      <c r="K93" s="29">
        <f>30000+17</f>
        <v>30017</v>
      </c>
      <c r="L93" s="12"/>
      <c r="M93" s="12"/>
      <c r="N93" s="12"/>
      <c r="O93" s="27"/>
      <c r="P93" s="29"/>
      <c r="Q93" s="43"/>
    </row>
    <row r="94" spans="1:17" ht="61.5" customHeight="1" x14ac:dyDescent="0.15">
      <c r="A94" s="13">
        <f t="shared" si="4"/>
        <v>89</v>
      </c>
      <c r="B94" s="8" t="s">
        <v>82</v>
      </c>
      <c r="C94" s="9" t="s">
        <v>83</v>
      </c>
      <c r="D94" s="8" t="s">
        <v>167</v>
      </c>
      <c r="E94" s="9" t="s">
        <v>168</v>
      </c>
      <c r="F94" s="10" t="s">
        <v>65</v>
      </c>
      <c r="G94" s="11">
        <v>1981.18</v>
      </c>
      <c r="H94" s="11">
        <v>2104.87</v>
      </c>
      <c r="I94" s="12">
        <v>386</v>
      </c>
      <c r="J94" s="27">
        <f>2002.96+0.91</f>
        <v>2003.8700000000001</v>
      </c>
      <c r="K94" s="29">
        <f>1985+0</f>
        <v>1985</v>
      </c>
      <c r="L94" s="12"/>
      <c r="M94" s="12"/>
      <c r="N94" s="12"/>
      <c r="O94" s="27"/>
      <c r="P94" s="29"/>
      <c r="Q94" s="43"/>
    </row>
    <row r="95" spans="1:17" ht="43.5" customHeight="1" x14ac:dyDescent="0.15">
      <c r="A95" s="13">
        <f t="shared" si="4"/>
        <v>90</v>
      </c>
      <c r="B95" s="8" t="s">
        <v>169</v>
      </c>
      <c r="C95" s="9" t="s">
        <v>170</v>
      </c>
      <c r="D95" s="8"/>
      <c r="E95" s="9"/>
      <c r="F95" s="10" t="s">
        <v>70</v>
      </c>
      <c r="G95" s="11"/>
      <c r="H95" s="11"/>
      <c r="I95" s="12"/>
      <c r="J95" s="27"/>
      <c r="K95" s="29"/>
      <c r="L95" s="12">
        <v>172.768</v>
      </c>
      <c r="M95" s="12">
        <v>163.38900000000001</v>
      </c>
      <c r="N95" s="12">
        <v>165</v>
      </c>
      <c r="O95" s="27">
        <f>183.848</f>
        <v>183.84800000000001</v>
      </c>
      <c r="P95" s="29">
        <f>176</f>
        <v>176</v>
      </c>
      <c r="Q95" s="43"/>
    </row>
    <row r="96" spans="1:17" ht="43.5" customHeight="1" x14ac:dyDescent="0.15">
      <c r="A96" s="13">
        <f>A95+1</f>
        <v>91</v>
      </c>
      <c r="B96" s="30" t="s">
        <v>319</v>
      </c>
      <c r="C96" s="31" t="s">
        <v>248</v>
      </c>
      <c r="D96" s="30"/>
      <c r="E96" s="31"/>
      <c r="F96" s="32" t="s">
        <v>241</v>
      </c>
      <c r="G96" s="33"/>
      <c r="H96" s="33"/>
      <c r="I96" s="34"/>
      <c r="J96" s="27">
        <f>94.73+0+9.75+193.94+1.13+61.41+33.5+1796.12+36.54+0</f>
        <v>2227.12</v>
      </c>
      <c r="K96" s="29">
        <f>100+1+10+400+20+100+50+1900+100+0</f>
        <v>2681</v>
      </c>
      <c r="L96" s="34"/>
      <c r="M96" s="34"/>
      <c r="N96" s="34"/>
      <c r="O96" s="27"/>
      <c r="P96" s="29"/>
      <c r="Q96" s="44"/>
    </row>
    <row r="97" spans="1:17" ht="43.5" customHeight="1" x14ac:dyDescent="0.15">
      <c r="A97" s="13">
        <f>A96+1</f>
        <v>92</v>
      </c>
      <c r="B97" s="30" t="s">
        <v>256</v>
      </c>
      <c r="C97" s="31" t="s">
        <v>257</v>
      </c>
      <c r="D97" s="30" t="s">
        <v>258</v>
      </c>
      <c r="E97" s="31" t="s">
        <v>259</v>
      </c>
      <c r="F97" s="32" t="s">
        <v>241</v>
      </c>
      <c r="G97" s="33"/>
      <c r="H97" s="33"/>
      <c r="I97" s="34"/>
      <c r="J97" s="27">
        <f>2924.8+1096.7+230.5+177.2+1480.5+19.7+4.7+35+16.1+24.7</f>
        <v>6009.9</v>
      </c>
      <c r="K97" s="29">
        <f>2700+1000+200+150+1300+17+4+30+15+22</f>
        <v>5438</v>
      </c>
      <c r="L97" s="34"/>
      <c r="M97" s="34"/>
      <c r="N97" s="34"/>
      <c r="O97" s="27"/>
      <c r="P97" s="29"/>
      <c r="Q97" s="44"/>
    </row>
    <row r="98" spans="1:17" ht="43.5" customHeight="1" x14ac:dyDescent="0.15">
      <c r="A98" s="13">
        <f>A97+1</f>
        <v>93</v>
      </c>
      <c r="B98" s="30" t="s">
        <v>262</v>
      </c>
      <c r="C98" s="31" t="s">
        <v>263</v>
      </c>
      <c r="D98" s="30" t="s">
        <v>264</v>
      </c>
      <c r="E98" s="31" t="s">
        <v>265</v>
      </c>
      <c r="F98" s="32" t="s">
        <v>241</v>
      </c>
      <c r="G98" s="33"/>
      <c r="H98" s="33"/>
      <c r="I98" s="34">
        <v>932</v>
      </c>
      <c r="J98" s="27">
        <v>12265.61</v>
      </c>
      <c r="K98" s="29">
        <v>949</v>
      </c>
      <c r="L98" s="34"/>
      <c r="M98" s="34"/>
      <c r="N98" s="34"/>
      <c r="O98" s="27"/>
      <c r="P98" s="29"/>
      <c r="Q98" s="44"/>
    </row>
    <row r="99" spans="1:17" ht="43.5" customHeight="1" x14ac:dyDescent="0.15">
      <c r="A99" s="13">
        <f>ROW()-5</f>
        <v>94</v>
      </c>
      <c r="B99" s="30" t="s">
        <v>320</v>
      </c>
      <c r="C99" s="31" t="s">
        <v>282</v>
      </c>
      <c r="D99" s="30"/>
      <c r="E99" s="31"/>
      <c r="F99" s="32" t="s">
        <v>283</v>
      </c>
      <c r="G99" s="33">
        <v>2785.6660000000002</v>
      </c>
      <c r="H99" s="33">
        <v>5759.25</v>
      </c>
      <c r="I99" s="34">
        <v>4501</v>
      </c>
      <c r="J99" s="27">
        <v>0</v>
      </c>
      <c r="K99" s="29"/>
      <c r="L99" s="34"/>
      <c r="M99" s="34"/>
      <c r="N99" s="34"/>
      <c r="O99" s="27"/>
      <c r="P99" s="29"/>
      <c r="Q99" s="43"/>
    </row>
    <row r="100" spans="1:17" ht="43.5" customHeight="1" x14ac:dyDescent="0.15">
      <c r="A100" s="13">
        <f>A99+1</f>
        <v>95</v>
      </c>
      <c r="B100" s="30" t="s">
        <v>235</v>
      </c>
      <c r="C100" s="31" t="s">
        <v>236</v>
      </c>
      <c r="D100" s="30"/>
      <c r="E100" s="31"/>
      <c r="F100" s="32" t="s">
        <v>237</v>
      </c>
      <c r="G100" s="33"/>
      <c r="H100" s="33"/>
      <c r="I100" s="34"/>
      <c r="J100" s="27">
        <f>5296.8+0+3.6+2.08+0+0</f>
        <v>5302.4800000000005</v>
      </c>
      <c r="K100" s="29">
        <f>900+0+2+2+0+0+0</f>
        <v>904</v>
      </c>
      <c r="L100" s="34"/>
      <c r="M100" s="34"/>
      <c r="N100" s="34"/>
      <c r="O100" s="27"/>
      <c r="P100" s="29"/>
      <c r="Q100" s="43"/>
    </row>
    <row r="101" spans="1:17" ht="43.5" customHeight="1" x14ac:dyDescent="0.15">
      <c r="A101" s="13">
        <f>ROW()-5</f>
        <v>96</v>
      </c>
      <c r="B101" s="30" t="s">
        <v>321</v>
      </c>
      <c r="C101" s="31" t="s">
        <v>284</v>
      </c>
      <c r="D101" s="30" t="s">
        <v>285</v>
      </c>
      <c r="E101" s="31" t="s">
        <v>286</v>
      </c>
      <c r="F101" s="32" t="s">
        <v>241</v>
      </c>
      <c r="G101" s="33">
        <v>624.51</v>
      </c>
      <c r="H101" s="33"/>
      <c r="I101" s="34">
        <f>3131.59+5.89+0.33+91+87.2+15.13</f>
        <v>3331.14</v>
      </c>
      <c r="J101" s="27">
        <f>3131.59+5.89+0.33+91+87.2+15.13</f>
        <v>3331.14</v>
      </c>
      <c r="K101" s="29">
        <f>3131.59+5.89+0.33+91+87.2+15.13</f>
        <v>3331.14</v>
      </c>
      <c r="L101" s="34"/>
      <c r="M101" s="34"/>
      <c r="N101" s="34"/>
      <c r="O101" s="27"/>
      <c r="P101" s="29"/>
      <c r="Q101" s="43"/>
    </row>
    <row r="102" spans="1:17" ht="43.5" customHeight="1" x14ac:dyDescent="0.15">
      <c r="A102" s="13">
        <f>A101+1</f>
        <v>97</v>
      </c>
      <c r="B102" s="30" t="s">
        <v>290</v>
      </c>
      <c r="C102" s="31" t="s">
        <v>291</v>
      </c>
      <c r="D102" s="30" t="s">
        <v>292</v>
      </c>
      <c r="E102" s="31" t="s">
        <v>293</v>
      </c>
      <c r="F102" s="32" t="s">
        <v>241</v>
      </c>
      <c r="G102" s="33">
        <v>939.82</v>
      </c>
      <c r="H102" s="33"/>
      <c r="I102" s="34">
        <v>1137.771</v>
      </c>
      <c r="J102" s="27">
        <f>103.67+42.93+149.55+0.99+322.3+0.74+30.18+0.47</f>
        <v>650.83000000000004</v>
      </c>
      <c r="K102" s="29"/>
      <c r="L102" s="34"/>
      <c r="M102" s="34"/>
      <c r="N102" s="34"/>
      <c r="O102" s="27"/>
      <c r="P102" s="29"/>
      <c r="Q102" s="43"/>
    </row>
    <row r="103" spans="1:17" ht="43.5" customHeight="1" x14ac:dyDescent="0.15">
      <c r="A103" s="13">
        <f>ROW()-5</f>
        <v>98</v>
      </c>
      <c r="B103" s="8" t="s">
        <v>171</v>
      </c>
      <c r="C103" s="9" t="s">
        <v>172</v>
      </c>
      <c r="D103" s="8"/>
      <c r="E103" s="9"/>
      <c r="F103" s="10" t="s">
        <v>21</v>
      </c>
      <c r="G103" s="11">
        <v>2130.944</v>
      </c>
      <c r="H103" s="11">
        <v>2130.944</v>
      </c>
      <c r="I103" s="12">
        <v>1042</v>
      </c>
      <c r="J103" s="27">
        <f>16.79+0.21+280.46+9.49+171.5+120.14+4.74+671.53+17.03+1.18</f>
        <v>1293.0700000000002</v>
      </c>
      <c r="K103" s="29">
        <f>16+0.2+280+9+170+120+4+670+17+0</f>
        <v>1286.2</v>
      </c>
      <c r="L103" s="34"/>
      <c r="M103" s="34"/>
      <c r="N103" s="34"/>
      <c r="O103" s="27"/>
      <c r="P103" s="29"/>
      <c r="Q103" s="43"/>
    </row>
    <row r="104" spans="1:17" ht="43.5" customHeight="1" x14ac:dyDescent="0.15">
      <c r="A104" s="13">
        <f>ROW()-5</f>
        <v>99</v>
      </c>
      <c r="B104" s="8" t="s">
        <v>322</v>
      </c>
      <c r="C104" s="9" t="s">
        <v>173</v>
      </c>
      <c r="D104" s="8"/>
      <c r="E104" s="9"/>
      <c r="F104" s="10" t="s">
        <v>20</v>
      </c>
      <c r="G104" s="11">
        <v>15707.09</v>
      </c>
      <c r="H104" s="11">
        <v>17344.11</v>
      </c>
      <c r="I104" s="12">
        <v>15609.72</v>
      </c>
      <c r="J104" s="27">
        <f>841.28+0.06+144.29+55.2+161.1+2.1+4.56+378.6+107.45+789+667.44+483+19.38+207.51+6.63+0.04+0.06</f>
        <v>3867.6999999999994</v>
      </c>
      <c r="K104" s="29">
        <f>757.15+0.05+129.86+49.68+144.99+1.89+4.1+340.74+96.71+710.1+600.7+434.7+17.44+186.76+5.97+0.04+0.05</f>
        <v>3480.93</v>
      </c>
      <c r="L104" s="12"/>
      <c r="M104" s="12"/>
      <c r="N104" s="12"/>
      <c r="O104" s="27"/>
      <c r="P104" s="29"/>
      <c r="Q104" s="43"/>
    </row>
    <row r="105" spans="1:17" ht="43.5" customHeight="1" x14ac:dyDescent="0.15">
      <c r="A105" s="13">
        <f>ROW()-5</f>
        <v>100</v>
      </c>
      <c r="B105" s="8" t="s">
        <v>174</v>
      </c>
      <c r="C105" s="9" t="s">
        <v>175</v>
      </c>
      <c r="D105" s="8"/>
      <c r="E105" s="9"/>
      <c r="F105" s="10" t="s">
        <v>20</v>
      </c>
      <c r="G105" s="11"/>
      <c r="H105" s="11"/>
      <c r="I105" s="12">
        <v>1255.23</v>
      </c>
      <c r="J105" s="27">
        <f>3137.4+36.2+9+12.8+22.53+9.6+419.4+296.3+153.75+0.15+9.3</f>
        <v>4106.43</v>
      </c>
      <c r="K105" s="29">
        <f>2823.66+32.58+8.1+11.52+20.28+8.64+377.46+266.67+138.38+0.14+8.37</f>
        <v>3695.7999999999997</v>
      </c>
      <c r="L105" s="12"/>
      <c r="M105" s="12"/>
      <c r="N105" s="12"/>
      <c r="O105" s="27"/>
      <c r="P105" s="29"/>
      <c r="Q105" s="43"/>
    </row>
    <row r="106" spans="1:17" ht="43.5" customHeight="1" x14ac:dyDescent="0.15">
      <c r="A106" s="13">
        <f>ROW()-5</f>
        <v>101</v>
      </c>
      <c r="B106" s="8" t="s">
        <v>323</v>
      </c>
      <c r="C106" s="9" t="s">
        <v>176</v>
      </c>
      <c r="D106" s="8"/>
      <c r="E106" s="9"/>
      <c r="F106" s="10" t="s">
        <v>20</v>
      </c>
      <c r="G106" s="11"/>
      <c r="H106" s="11"/>
      <c r="I106" s="12">
        <v>1026.1400000000001</v>
      </c>
      <c r="J106" s="27">
        <f>14+11.55+13+43+5.92+46.62+15.6</f>
        <v>149.69</v>
      </c>
      <c r="K106" s="29"/>
      <c r="L106" s="12"/>
      <c r="M106" s="12"/>
      <c r="N106" s="12"/>
      <c r="O106" s="27"/>
      <c r="P106" s="29"/>
      <c r="Q106" s="43"/>
    </row>
    <row r="107" spans="1:17" ht="43.5" customHeight="1" x14ac:dyDescent="0.15">
      <c r="A107" s="13">
        <f>A106+1</f>
        <v>102</v>
      </c>
      <c r="B107" s="8" t="s">
        <v>246</v>
      </c>
      <c r="C107" s="9" t="s">
        <v>247</v>
      </c>
      <c r="D107" s="8"/>
      <c r="E107" s="9"/>
      <c r="F107" s="10" t="s">
        <v>241</v>
      </c>
      <c r="G107" s="11"/>
      <c r="H107" s="11"/>
      <c r="I107" s="12"/>
      <c r="J107" s="27">
        <f>4.05+0.38+4.52+94.68+205.15+0.24+316.5+60.6+10301+507.75+452.88+58.89+19.98+0.45</f>
        <v>12027.07</v>
      </c>
      <c r="K107" s="29">
        <f>3.65+0.34+4.07+85.21+184.64+0.22+284.85+54.54+9270.9+456.98+407.59+53+17.98+0.41</f>
        <v>10824.38</v>
      </c>
      <c r="L107" s="12"/>
      <c r="M107" s="12"/>
      <c r="N107" s="12"/>
      <c r="O107" s="27"/>
      <c r="P107" s="29"/>
      <c r="Q107" s="44"/>
    </row>
    <row r="108" spans="1:17" ht="43.5" customHeight="1" x14ac:dyDescent="0.15">
      <c r="A108" s="13">
        <f>ROW()-5</f>
        <v>103</v>
      </c>
      <c r="B108" s="8" t="s">
        <v>324</v>
      </c>
      <c r="C108" s="9" t="s">
        <v>177</v>
      </c>
      <c r="D108" s="8"/>
      <c r="E108" s="9"/>
      <c r="F108" s="10" t="s">
        <v>20</v>
      </c>
      <c r="G108" s="11"/>
      <c r="H108" s="11"/>
      <c r="I108" s="12">
        <v>1036.4000000000001</v>
      </c>
      <c r="J108" s="27">
        <f>0.48+33.95+0.15+30.8+1.13+19+9.3+23.68+14.8+34.04+53.43</f>
        <v>220.76</v>
      </c>
      <c r="K108" s="29"/>
      <c r="L108" s="12"/>
      <c r="M108" s="12"/>
      <c r="N108" s="12"/>
      <c r="O108" s="27"/>
      <c r="P108" s="29"/>
      <c r="Q108" s="43"/>
    </row>
    <row r="109" spans="1:17" ht="43.5" customHeight="1" x14ac:dyDescent="0.15">
      <c r="A109" s="13">
        <f>ROW()-5</f>
        <v>104</v>
      </c>
      <c r="B109" s="8" t="s">
        <v>178</v>
      </c>
      <c r="C109" s="9" t="s">
        <v>179</v>
      </c>
      <c r="D109" s="8" t="s">
        <v>180</v>
      </c>
      <c r="E109" s="9"/>
      <c r="F109" s="10" t="s">
        <v>17</v>
      </c>
      <c r="G109" s="11"/>
      <c r="H109" s="11">
        <v>10678.73</v>
      </c>
      <c r="I109" s="12">
        <v>936</v>
      </c>
      <c r="J109" s="27">
        <f>289.88+741.06+283.42+356.95+49.74+623.98+0.48+486.05+263.1+3.85+35.03+288.93</f>
        <v>3422.4700000000003</v>
      </c>
      <c r="K109" s="29">
        <f>200+500+100+100+10+300+0+100+100+0+10+200</f>
        <v>1620</v>
      </c>
      <c r="L109" s="12"/>
      <c r="M109" s="12"/>
      <c r="N109" s="12"/>
      <c r="O109" s="27"/>
      <c r="P109" s="29"/>
      <c r="Q109" s="43"/>
    </row>
    <row r="110" spans="1:17" ht="43.5" customHeight="1" x14ac:dyDescent="0.15">
      <c r="A110" s="46">
        <f>A109+1</f>
        <v>105</v>
      </c>
      <c r="B110" s="35" t="s">
        <v>327</v>
      </c>
      <c r="C110" s="36" t="s">
        <v>255</v>
      </c>
      <c r="D110" s="35" t="s">
        <v>326</v>
      </c>
      <c r="E110" s="36" t="s">
        <v>325</v>
      </c>
      <c r="F110" s="37" t="s">
        <v>241</v>
      </c>
      <c r="G110" s="38"/>
      <c r="H110" s="38">
        <v>10678.73</v>
      </c>
      <c r="I110" s="39">
        <f>100+500+50+100+5+100+1+10+20+50</f>
        <v>936</v>
      </c>
      <c r="J110" s="40">
        <f>0+35.62+0+0+0+1.77+0.29+13.02+0+0+51.4+18+0+1125.17+0+17.46</f>
        <v>1262.73</v>
      </c>
      <c r="K110" s="41">
        <f>0+35.62+0+0+0+1.77+0.29+13.02+0+0+51.4+18+0+1125.17+0+17.46</f>
        <v>1262.73</v>
      </c>
      <c r="L110" s="39"/>
      <c r="M110" s="39"/>
      <c r="N110" s="39"/>
      <c r="O110" s="40"/>
      <c r="P110" s="41"/>
      <c r="Q110" s="45"/>
    </row>
    <row r="111" spans="1:17" ht="43.5" customHeight="1" x14ac:dyDescent="0.15">
      <c r="A111" s="47">
        <f>A110+1</f>
        <v>106</v>
      </c>
      <c r="B111" s="49" t="s">
        <v>244</v>
      </c>
      <c r="C111" s="48" t="s">
        <v>245</v>
      </c>
      <c r="D111" s="49"/>
      <c r="E111" s="66"/>
      <c r="F111" s="50" t="s">
        <v>241</v>
      </c>
      <c r="G111" s="51">
        <v>582.95000000000005</v>
      </c>
      <c r="H111" s="51"/>
      <c r="I111" s="52">
        <v>1541</v>
      </c>
      <c r="J111" s="80">
        <f>3.8+468.43+974+29.75+13.34+6.66</f>
        <v>1495.98</v>
      </c>
      <c r="K111" s="81">
        <f>5+50+0+2+1+2</f>
        <v>60</v>
      </c>
      <c r="L111" s="53"/>
      <c r="M111" s="53"/>
      <c r="N111" s="54"/>
      <c r="O111" s="55"/>
      <c r="P111" s="56"/>
      <c r="Q111" s="57"/>
    </row>
    <row r="112" spans="1:17" ht="43.5" customHeight="1" thickBot="1" x14ac:dyDescent="0.2">
      <c r="A112" s="58">
        <f>A111+1</f>
        <v>107</v>
      </c>
      <c r="B112" s="71" t="s">
        <v>310</v>
      </c>
      <c r="C112" s="59" t="s">
        <v>311</v>
      </c>
      <c r="D112" s="67"/>
      <c r="E112" s="60"/>
      <c r="F112" s="60" t="s">
        <v>241</v>
      </c>
      <c r="G112" s="61">
        <v>23752.560000000001</v>
      </c>
      <c r="H112" s="61">
        <v>1247.7900000000002</v>
      </c>
      <c r="I112" s="61">
        <v>0</v>
      </c>
      <c r="J112" s="82">
        <f>25.56+0.57+22.84+54.02+38.61</f>
        <v>141.60000000000002</v>
      </c>
      <c r="K112" s="83"/>
      <c r="L112" s="61"/>
      <c r="M112" s="62"/>
      <c r="N112" s="62"/>
      <c r="O112" s="63"/>
      <c r="P112" s="64"/>
      <c r="Q112" s="65"/>
    </row>
    <row r="113" spans="9:17" ht="27.75" customHeight="1" x14ac:dyDescent="0.15">
      <c r="I113" s="1" t="s">
        <v>181</v>
      </c>
      <c r="J113" s="104">
        <f>SUM(J6:J112)</f>
        <v>1340067.1410000005</v>
      </c>
      <c r="K113" s="104">
        <f>SUM(K6:K112)</f>
        <v>1309666.7350000001</v>
      </c>
      <c r="N113" s="1" t="s">
        <v>181</v>
      </c>
      <c r="O113" s="105">
        <f>SUM(O6:O112)</f>
        <v>11344.620599999998</v>
      </c>
      <c r="P113" s="105">
        <f>SUM(P6:P112)</f>
        <v>11219.388999999999</v>
      </c>
      <c r="Q113" s="105"/>
    </row>
    <row r="114" spans="9:17" ht="24.75" customHeight="1" x14ac:dyDescent="0.15">
      <c r="I114" s="1" t="s">
        <v>182</v>
      </c>
      <c r="J114" s="105">
        <f>COUNT(J6:J112)</f>
        <v>87</v>
      </c>
      <c r="K114" s="105">
        <f>COUNT(K6:K112)</f>
        <v>79</v>
      </c>
      <c r="N114" s="1" t="s">
        <v>182</v>
      </c>
      <c r="O114" s="105">
        <f>COUNT(O6:O111)</f>
        <v>24</v>
      </c>
      <c r="P114" s="105">
        <f>COUNT(P6:P112)</f>
        <v>23</v>
      </c>
    </row>
    <row r="118" spans="9:17" ht="12.75" customHeight="1" x14ac:dyDescent="0.15"/>
  </sheetData>
  <autoFilter ref="A5:Q114" xr:uid="{00000000-0009-0000-0000-000001000000}"/>
  <mergeCells count="10">
    <mergeCell ref="A1:Q1"/>
    <mergeCell ref="A3:A5"/>
    <mergeCell ref="B3:C4"/>
    <mergeCell ref="D3:E4"/>
    <mergeCell ref="F3:F5"/>
    <mergeCell ref="G3:K3"/>
    <mergeCell ref="L3:P3"/>
    <mergeCell ref="Q3:Q5"/>
    <mergeCell ref="I4:J4"/>
    <mergeCell ref="N4:O4"/>
  </mergeCells>
  <phoneticPr fontId="3"/>
  <pageMargins left="0.59055118110236227" right="0.59055118110236227" top="0.59055118110236227" bottom="0.59055118110236227" header="0.51181102362204722" footer="0.51181102362204722"/>
  <pageSetup paperSize="8" scale="88" fitToHeight="20" orientation="landscape" r:id="rId1"/>
  <headerFooter alignWithMargins="0"/>
  <rowBreaks count="4" manualBreakCount="4">
    <brk id="24" max="16" man="1"/>
    <brk id="42" max="16" man="1"/>
    <brk id="61" max="16" man="1"/>
    <brk id="79" max="1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県西 R7</vt:lpstr>
      <vt:lpstr>'県西 R7'!Print_Area</vt:lpstr>
      <vt:lpstr>'県西 R7'!Print_Titles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北村　立実</cp:lastModifiedBy>
  <cp:lastPrinted>2025-07-28T02:09:03Z</cp:lastPrinted>
  <dcterms:created xsi:type="dcterms:W3CDTF">2024-08-14T01:52:51Z</dcterms:created>
  <dcterms:modified xsi:type="dcterms:W3CDTF">2025-12-10T01:17:02Z</dcterms:modified>
</cp:coreProperties>
</file>